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05" yWindow="-105" windowWidth="21825" windowHeight="13905" tabRatio="893" activeTab="3"/>
  </bookViews>
  <sheets>
    <sheet name="Титульный" sheetId="1" r:id="rId1"/>
    <sheet name="Поступления и выплаты" sheetId="3" r:id="rId2"/>
    <sheet name="НАБЛЮДАТЕЛЬНЫЙ" sheetId="9" state="hidden" r:id="rId3"/>
    <sheet name="ФХД_ Сведения по выплатам" sheetId="10" r:id="rId4"/>
    <sheet name="Лист4(130,150)" sheetId="11" state="hidden" r:id="rId5"/>
    <sheet name="Лист6(211,212,226,266)" sheetId="13" state="hidden" r:id="rId6"/>
    <sheet name="Лист10(213,221-223,266,291-297)" sheetId="16" state="hidden" r:id="rId7"/>
    <sheet name="Лист11(225)" sheetId="17" state="hidden" r:id="rId8"/>
    <sheet name="Лист12(224,225,226,310,342-349" sheetId="18" state="hidden" r:id="rId9"/>
    <sheet name="226 112" sheetId="29" state="hidden" r:id="rId10"/>
    <sheet name="КВФО 2 КВР 853 295 и 241" sheetId="23" state="hidden" r:id="rId11"/>
    <sheet name="КВФО 2 и 4 221" sheetId="25" state="hidden" r:id="rId12"/>
    <sheet name="КВФО 2 и 4 222" sheetId="24" state="hidden" r:id="rId13"/>
    <sheet name="2 и 4 225" sheetId="21" state="hidden" r:id="rId14"/>
    <sheet name="2 и 4 226" sheetId="22" state="hidden" r:id="rId15"/>
    <sheet name="КВФО 2 и 4 223" sheetId="26" state="hidden" r:id="rId16"/>
    <sheet name="КВФО 2,4,5 КОСГУ 310342345346" sheetId="28" state="hidden" r:id="rId17"/>
  </sheets>
  <externalReferences>
    <externalReference r:id="rId18"/>
    <externalReference r:id="rId19"/>
  </externalReferences>
  <definedNames>
    <definedName name="_edn1" localSheetId="1">'Поступления и выплаты'!$A$128</definedName>
    <definedName name="_edn1" localSheetId="0">Титульный!#REF!</definedName>
    <definedName name="_edn2" localSheetId="1">'Поступления и выплаты'!$A$129</definedName>
    <definedName name="_edn2" localSheetId="0">Титульный!#REF!</definedName>
    <definedName name="_edn3" localSheetId="1">'Поступления и выплаты'!$A$130</definedName>
    <definedName name="_edn3" localSheetId="0">Титульный!#REF!</definedName>
    <definedName name="_edn4" localSheetId="1">'Поступления и выплаты'!$A$136</definedName>
    <definedName name="_edn4" localSheetId="0">Титульный!#REF!</definedName>
    <definedName name="_edn5" localSheetId="1">'Поступления и выплаты'!$A$137</definedName>
    <definedName name="_edn5" localSheetId="0">Титульный!#REF!</definedName>
    <definedName name="_ednref1" localSheetId="1">'Поступления и выплаты'!#REF!</definedName>
    <definedName name="_ednref1" localSheetId="0">Титульный!$A$21</definedName>
    <definedName name="_ednref2" localSheetId="1">'Поступления и выплаты'!#REF!</definedName>
    <definedName name="_ednref2" localSheetId="0">Титульный!$A$22</definedName>
    <definedName name="_ednref3" localSheetId="1">'Поступления и выплаты'!$C$2</definedName>
    <definedName name="_ednref3" localSheetId="0">Титульный!#REF!</definedName>
    <definedName name="_ednref4" localSheetId="1">'Поступления и выплаты'!$D$2</definedName>
    <definedName name="_ednref4" localSheetId="0">Титульный!#REF!</definedName>
    <definedName name="_ednref5" localSheetId="1">'Поступления и выплаты'!$A$6</definedName>
    <definedName name="_ednref5" localSheetId="0">Титульный!#REF!</definedName>
    <definedName name="IS_DOCUMENT" localSheetId="3">'ФХД_ Сведения по выплатам'!$A$50</definedName>
    <definedName name="Print_Titles" localSheetId="1">'Поступления и выплаты'!$2:$5</definedName>
    <definedName name="_xlnm.Print_Area" localSheetId="13">'2 и 4 225'!$A$1:$O$125</definedName>
    <definedName name="_xlnm.Print_Area" localSheetId="14">'2 и 4 226'!$B$1:$O$170</definedName>
    <definedName name="_xlnm.Print_Area" localSheetId="9">'226 112'!$A$1:$N$30</definedName>
    <definedName name="_xlnm.Print_Area" localSheetId="11">'КВФО 2 и 4 221'!$A$1:$O$22</definedName>
    <definedName name="_xlnm.Print_Area" localSheetId="12">'КВФО 2 и 4 222'!$A$1:$N$22</definedName>
    <definedName name="_xlnm.Print_Area" localSheetId="15">'КВФО 2 и 4 223'!$A$1:$O$77</definedName>
    <definedName name="_xlnm.Print_Area" localSheetId="10">'КВФО 2 КВР 853 295 и 241'!$A$1:$N$22</definedName>
    <definedName name="_xlnm.Print_Area" localSheetId="16">'КВФО 2,4,5 КОСГУ 310342345346'!$B$1:$M$224</definedName>
    <definedName name="_xlnm.Print_Area" localSheetId="6">'Лист10(213,221-223,266,291-297)'!$A$1:$O$208</definedName>
    <definedName name="_xlnm.Print_Area" localSheetId="7">'Лист11(225)'!$A$1:$O$81</definedName>
    <definedName name="_xlnm.Print_Area" localSheetId="8">'Лист12(224,225,226,310,342-349'!$B$1:$M$503</definedName>
    <definedName name="_xlnm.Print_Area" localSheetId="4">'Лист4(130,150)'!$A$1:$L$59</definedName>
    <definedName name="_xlnm.Print_Area" localSheetId="5">'Лист6(211,212,226,266)'!$A$1:$N$56</definedName>
    <definedName name="_xlnm.Print_Area" localSheetId="1">'Поступления и выплаты'!$A$1:$AB$127</definedName>
    <definedName name="_xlnm.Print_Area" localSheetId="0">Титульный!$A$1:$Q$60</definedName>
    <definedName name="_xlnm.Print_Area" localSheetId="3">'ФХД_ Сведения по выплатам'!$A$1:$DA$59</definedName>
  </definedNames>
  <calcPr calcId="145621" refMode="R1C1" fullPrecision="0"/>
</workbook>
</file>

<file path=xl/calcChain.xml><?xml version="1.0" encoding="utf-8"?>
<calcChain xmlns="http://schemas.openxmlformats.org/spreadsheetml/2006/main">
  <c r="E58" i="3" l="1"/>
  <c r="E18" i="3"/>
  <c r="CX31" i="10" l="1"/>
  <c r="CX18" i="10"/>
  <c r="E110" i="3" l="1"/>
  <c r="E109" i="3"/>
  <c r="E108" i="3"/>
  <c r="E107" i="3"/>
  <c r="E106" i="3"/>
  <c r="E105" i="3"/>
  <c r="E104" i="3"/>
  <c r="E103" i="3"/>
  <c r="E52" i="3"/>
  <c r="E50" i="3"/>
  <c r="E46" i="3"/>
  <c r="E45" i="3"/>
  <c r="E122" i="3"/>
  <c r="E17" i="3" l="1"/>
  <c r="T107" i="3" l="1"/>
  <c r="T108" i="3"/>
  <c r="T105" i="3"/>
  <c r="E51" i="3"/>
  <c r="X58" i="3" l="1"/>
  <c r="T58" i="3"/>
  <c r="X45" i="3"/>
  <c r="T45" i="3"/>
  <c r="X17" i="3"/>
  <c r="T17" i="3"/>
  <c r="CX22" i="10" l="1"/>
  <c r="E23" i="3"/>
  <c r="E116" i="3" l="1"/>
  <c r="E6" i="3"/>
  <c r="X51" i="3" l="1"/>
  <c r="T51" i="3"/>
  <c r="X16" i="3" l="1"/>
  <c r="X15" i="3"/>
  <c r="T15" i="3"/>
  <c r="X108" i="3"/>
  <c r="X107" i="3"/>
  <c r="T110" i="3"/>
  <c r="X80" i="3"/>
  <c r="X110" i="3"/>
  <c r="X105" i="3"/>
  <c r="X104" i="3"/>
  <c r="T104" i="3"/>
  <c r="X103" i="3"/>
  <c r="T103" i="3"/>
  <c r="T80" i="3"/>
  <c r="E80" i="3"/>
  <c r="X53" i="3"/>
  <c r="T53" i="3"/>
  <c r="X52" i="3"/>
  <c r="T52" i="3"/>
  <c r="X50" i="3"/>
  <c r="T50" i="3"/>
  <c r="X46" i="3"/>
  <c r="T46" i="3"/>
  <c r="E60" i="3" l="1"/>
  <c r="E22" i="3" l="1"/>
  <c r="E47" i="3" l="1"/>
  <c r="DB18" i="10" l="1"/>
  <c r="DB31" i="10"/>
  <c r="E15" i="3"/>
  <c r="E11" i="3" s="1"/>
  <c r="E77" i="3" l="1"/>
  <c r="X77" i="3"/>
  <c r="W77" i="3"/>
  <c r="T77" i="3"/>
  <c r="E101" i="3"/>
  <c r="W101" i="3"/>
  <c r="V101" i="3"/>
  <c r="U101" i="3"/>
  <c r="G90" i="22" l="1"/>
  <c r="G89" i="22"/>
  <c r="G91" i="22" s="1"/>
  <c r="E189" i="22" s="1"/>
  <c r="J184" i="22"/>
  <c r="M91" i="22"/>
  <c r="G189" i="22" s="1"/>
  <c r="J91" i="22"/>
  <c r="F189" i="22" s="1"/>
  <c r="M54" i="22"/>
  <c r="J54" i="22"/>
  <c r="G54" i="22"/>
  <c r="G65" i="22" l="1"/>
  <c r="O12" i="22"/>
  <c r="K12" i="22"/>
  <c r="F178" i="22" s="1"/>
  <c r="F20" i="24"/>
  <c r="F19" i="24"/>
  <c r="G18" i="25"/>
  <c r="C28" i="29"/>
  <c r="F21" i="29"/>
  <c r="M37" i="22" l="1"/>
  <c r="M42" i="22"/>
  <c r="J42" i="22"/>
  <c r="M55" i="22"/>
  <c r="J55" i="22"/>
  <c r="G55" i="22"/>
  <c r="G178" i="22"/>
  <c r="G12" i="22"/>
  <c r="G174" i="22"/>
  <c r="E173" i="22"/>
  <c r="M81" i="22"/>
  <c r="J81" i="22"/>
  <c r="F80" i="22"/>
  <c r="G79" i="22"/>
  <c r="G81" i="22" s="1"/>
  <c r="F78" i="22"/>
  <c r="M69" i="22"/>
  <c r="J69" i="22"/>
  <c r="K68" i="22"/>
  <c r="H68" i="22"/>
  <c r="F68" i="22"/>
  <c r="L67" i="22"/>
  <c r="I67" i="22"/>
  <c r="F67" i="22"/>
  <c r="L66" i="22"/>
  <c r="I66" i="22"/>
  <c r="F66" i="22"/>
  <c r="L65" i="22"/>
  <c r="I65" i="22"/>
  <c r="F65" i="22"/>
  <c r="L54" i="22"/>
  <c r="I54" i="22"/>
  <c r="E54" i="22"/>
  <c r="L53" i="22"/>
  <c r="I53" i="22"/>
  <c r="L52" i="22"/>
  <c r="I52" i="22"/>
  <c r="F52" i="22"/>
  <c r="L51" i="22"/>
  <c r="I51" i="22"/>
  <c r="L40" i="22"/>
  <c r="I40" i="22"/>
  <c r="F40" i="22"/>
  <c r="G39" i="22"/>
  <c r="G42" i="22" s="1"/>
  <c r="L38" i="22"/>
  <c r="I38" i="22"/>
  <c r="L36" i="22"/>
  <c r="J36" i="22"/>
  <c r="G36" i="22"/>
  <c r="L35" i="22"/>
  <c r="J35" i="22"/>
  <c r="G35" i="22"/>
  <c r="I23" i="22"/>
  <c r="G182" i="22" l="1"/>
  <c r="G194" i="22"/>
  <c r="F174" i="22"/>
  <c r="F182" i="22"/>
  <c r="F183" i="22" s="1"/>
  <c r="F194" i="22"/>
  <c r="E181" i="22"/>
  <c r="E188" i="22"/>
  <c r="F181" i="22"/>
  <c r="F188" i="22"/>
  <c r="J37" i="22"/>
  <c r="E174" i="22"/>
  <c r="G181" i="22"/>
  <c r="G188" i="22"/>
  <c r="E178" i="22"/>
  <c r="G37" i="22"/>
  <c r="G183" i="22"/>
  <c r="G14" i="22"/>
  <c r="E193" i="22" s="1"/>
  <c r="F54" i="22"/>
  <c r="G69" i="22"/>
  <c r="E182" i="22" l="1"/>
  <c r="E194" i="22"/>
  <c r="G100" i="22"/>
  <c r="C27" i="29" l="1"/>
  <c r="F27" i="29" s="1"/>
  <c r="F25" i="29" s="1"/>
  <c r="C26" i="29"/>
  <c r="F26" i="29" s="1"/>
  <c r="F24" i="29"/>
  <c r="F23" i="29"/>
  <c r="F33" i="29" l="1"/>
  <c r="F29" i="29"/>
  <c r="N22" i="29"/>
  <c r="J22" i="29"/>
  <c r="N21" i="29"/>
  <c r="J21" i="29"/>
  <c r="J29" i="29" s="1"/>
  <c r="N29" i="29" l="1"/>
  <c r="F232" i="28"/>
  <c r="E232" i="28"/>
  <c r="G55" i="28"/>
  <c r="M47" i="28"/>
  <c r="G232" i="28" s="1"/>
  <c r="J47" i="28"/>
  <c r="J55" i="28" s="1"/>
  <c r="G47" i="28"/>
  <c r="G245" i="28"/>
  <c r="F245" i="28"/>
  <c r="E245" i="28"/>
  <c r="G246" i="28"/>
  <c r="F246" i="28"/>
  <c r="E246" i="28"/>
  <c r="G249" i="28"/>
  <c r="F249" i="28"/>
  <c r="G209" i="28"/>
  <c r="E249" i="28" s="1"/>
  <c r="M55" i="28" l="1"/>
  <c r="M196" i="28"/>
  <c r="M113" i="28" s="1"/>
  <c r="G243" i="28" s="1"/>
  <c r="J196" i="28"/>
  <c r="J113" i="28" s="1"/>
  <c r="F243" i="28" s="1"/>
  <c r="G196" i="28"/>
  <c r="G195" i="28"/>
  <c r="G194" i="28" s="1"/>
  <c r="G192" i="28"/>
  <c r="M99" i="28"/>
  <c r="G242" i="28" s="1"/>
  <c r="J99" i="28"/>
  <c r="F242" i="28" s="1"/>
  <c r="G111" i="28"/>
  <c r="G110" i="28" s="1"/>
  <c r="G235" i="28"/>
  <c r="F235" i="28"/>
  <c r="E235" i="28"/>
  <c r="G234" i="28"/>
  <c r="F234" i="28"/>
  <c r="E234" i="28"/>
  <c r="G230" i="28"/>
  <c r="F230" i="28"/>
  <c r="M89" i="28"/>
  <c r="G239" i="28" s="1"/>
  <c r="J89" i="28"/>
  <c r="F239" i="28" s="1"/>
  <c r="G89" i="28"/>
  <c r="E239" i="28" s="1"/>
  <c r="M78" i="28"/>
  <c r="G238" i="28" s="1"/>
  <c r="J78" i="28"/>
  <c r="F238" i="28" s="1"/>
  <c r="G78" i="28"/>
  <c r="E238" i="28" s="1"/>
  <c r="G191" i="28"/>
  <c r="G190" i="28"/>
  <c r="G189" i="28"/>
  <c r="G188" i="28"/>
  <c r="G187" i="28"/>
  <c r="G186" i="28"/>
  <c r="G185" i="28"/>
  <c r="G184" i="28"/>
  <c r="G183" i="28"/>
  <c r="G182" i="28"/>
  <c r="G181" i="28"/>
  <c r="G180" i="28"/>
  <c r="G179" i="28"/>
  <c r="G178" i="28"/>
  <c r="G177" i="28"/>
  <c r="G176" i="28"/>
  <c r="G173" i="28"/>
  <c r="G172" i="28"/>
  <c r="G171" i="28"/>
  <c r="G170" i="28"/>
  <c r="G169" i="28"/>
  <c r="G168" i="28"/>
  <c r="G167" i="28"/>
  <c r="G166" i="28"/>
  <c r="G165" i="28"/>
  <c r="G164" i="28"/>
  <c r="G162" i="28"/>
  <c r="G161" i="28"/>
  <c r="G160" i="28"/>
  <c r="G159" i="28"/>
  <c r="G158" i="28"/>
  <c r="G157" i="28"/>
  <c r="G156" i="28"/>
  <c r="G155" i="28"/>
  <c r="G154" i="28"/>
  <c r="G153" i="28"/>
  <c r="G152" i="28"/>
  <c r="G151" i="28"/>
  <c r="G150" i="28"/>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09" i="28"/>
  <c r="G108" i="28" s="1"/>
  <c r="G107" i="28"/>
  <c r="G106" i="28"/>
  <c r="G105" i="28"/>
  <c r="G104" i="28"/>
  <c r="G103" i="28"/>
  <c r="G102" i="28"/>
  <c r="M67" i="28"/>
  <c r="J67" i="28"/>
  <c r="G67" i="28"/>
  <c r="J198" i="28" l="1"/>
  <c r="M198" i="28"/>
  <c r="G100" i="28"/>
  <c r="G163" i="28"/>
  <c r="G114" i="28"/>
  <c r="G113" i="28" l="1"/>
  <c r="G99" i="28"/>
  <c r="E243" i="28" l="1"/>
  <c r="G198" i="28"/>
  <c r="E242" i="28"/>
  <c r="O70" i="21" l="1"/>
  <c r="K70" i="21"/>
  <c r="M56" i="21"/>
  <c r="N87" i="21"/>
  <c r="G113" i="21"/>
  <c r="K113" i="21"/>
  <c r="K112" i="21"/>
  <c r="O113" i="21"/>
  <c r="O112" i="21"/>
  <c r="O114" i="21" s="1"/>
  <c r="K114" i="21" l="1"/>
  <c r="G21" i="25" l="1"/>
  <c r="F222" i="28" l="1"/>
  <c r="G223" i="28"/>
  <c r="E252" i="28" s="1"/>
  <c r="J223" i="28"/>
  <c r="F252" i="28" s="1"/>
  <c r="M223" i="28"/>
  <c r="G252" i="28" s="1"/>
  <c r="G32" i="28"/>
  <c r="E37" i="28"/>
  <c r="M21" i="28"/>
  <c r="G229" i="28" s="1"/>
  <c r="G254" i="28" s="1"/>
  <c r="J21" i="28"/>
  <c r="F229" i="28" s="1"/>
  <c r="F254" i="28" s="1"/>
  <c r="E21" i="28"/>
  <c r="F20" i="28"/>
  <c r="F19" i="28"/>
  <c r="F18" i="28"/>
  <c r="F17" i="28"/>
  <c r="G16" i="28"/>
  <c r="G11" i="28" s="1"/>
  <c r="G21" i="28" s="1"/>
  <c r="E229" i="28" s="1"/>
  <c r="F15" i="28"/>
  <c r="F14" i="28"/>
  <c r="F13" i="28"/>
  <c r="F12" i="28"/>
  <c r="F11" i="24"/>
  <c r="F68" i="26"/>
  <c r="D68" i="26"/>
  <c r="E67" i="26"/>
  <c r="N57" i="26"/>
  <c r="S22" i="26" s="1"/>
  <c r="J57" i="26"/>
  <c r="R22" i="26" s="1"/>
  <c r="F57" i="26"/>
  <c r="K50" i="26"/>
  <c r="G50" i="26"/>
  <c r="C50" i="26"/>
  <c r="N41" i="26"/>
  <c r="J41" i="26"/>
  <c r="F41" i="26"/>
  <c r="K40" i="26"/>
  <c r="G40" i="26"/>
  <c r="C40" i="26"/>
  <c r="K39" i="26"/>
  <c r="G39" i="26"/>
  <c r="C39" i="26"/>
  <c r="K38" i="26"/>
  <c r="G38" i="26"/>
  <c r="C38" i="26"/>
  <c r="K28" i="26"/>
  <c r="G28" i="26"/>
  <c r="K27" i="26"/>
  <c r="G27" i="26"/>
  <c r="C27" i="26"/>
  <c r="K25" i="26"/>
  <c r="G25" i="26"/>
  <c r="C25" i="26"/>
  <c r="K23" i="26"/>
  <c r="G23" i="26"/>
  <c r="C23" i="26"/>
  <c r="Q22" i="26"/>
  <c r="N22" i="26"/>
  <c r="N29" i="26" s="1"/>
  <c r="S21" i="26" s="1"/>
  <c r="J22" i="26"/>
  <c r="G22" i="26" s="1"/>
  <c r="F22" i="26"/>
  <c r="F29" i="26" s="1"/>
  <c r="Q21" i="26" s="1"/>
  <c r="Q23" i="26" s="1"/>
  <c r="N13" i="26"/>
  <c r="J13" i="26"/>
  <c r="F13" i="26"/>
  <c r="K12" i="26"/>
  <c r="G12" i="26"/>
  <c r="C12" i="26"/>
  <c r="K11" i="26"/>
  <c r="G11" i="26"/>
  <c r="C11" i="26"/>
  <c r="K10" i="26"/>
  <c r="G10" i="26"/>
  <c r="C10" i="26"/>
  <c r="O38" i="25"/>
  <c r="O41" i="25" s="1"/>
  <c r="K38" i="25"/>
  <c r="K41" i="25" s="1"/>
  <c r="G38" i="25"/>
  <c r="G36" i="25"/>
  <c r="G35" i="25"/>
  <c r="D34" i="25"/>
  <c r="D33" i="25"/>
  <c r="G32" i="25"/>
  <c r="N21" i="25"/>
  <c r="J21" i="25"/>
  <c r="F21" i="25"/>
  <c r="N20" i="25"/>
  <c r="J20" i="25"/>
  <c r="G20" i="25"/>
  <c r="F20" i="25" s="1"/>
  <c r="O19" i="25"/>
  <c r="K19" i="25"/>
  <c r="G19" i="25"/>
  <c r="O18" i="25"/>
  <c r="K18" i="25"/>
  <c r="F18" i="25"/>
  <c r="O17" i="25"/>
  <c r="K17" i="25"/>
  <c r="G17" i="25"/>
  <c r="O16" i="25"/>
  <c r="K16" i="25"/>
  <c r="G16" i="25"/>
  <c r="O15" i="25"/>
  <c r="K15" i="25"/>
  <c r="D15" i="25"/>
  <c r="O14" i="25"/>
  <c r="K14" i="25"/>
  <c r="D14" i="25"/>
  <c r="O13" i="25"/>
  <c r="K13" i="25"/>
  <c r="N21" i="24"/>
  <c r="S12" i="24" s="1"/>
  <c r="J21" i="24"/>
  <c r="R12" i="24" s="1"/>
  <c r="N11" i="24"/>
  <c r="S11" i="24" s="1"/>
  <c r="J11" i="24"/>
  <c r="R11" i="24" s="1"/>
  <c r="C10" i="24"/>
  <c r="F10" i="23"/>
  <c r="N22" i="23"/>
  <c r="J22" i="23"/>
  <c r="F22" i="23"/>
  <c r="N10" i="23"/>
  <c r="J10" i="23"/>
  <c r="S23" i="26" l="1"/>
  <c r="C22" i="26"/>
  <c r="K22" i="26"/>
  <c r="G41" i="25"/>
  <c r="F11" i="28"/>
  <c r="J29" i="26"/>
  <c r="R21" i="26" s="1"/>
  <c r="R23" i="26" s="1"/>
  <c r="K22" i="25"/>
  <c r="G22" i="25"/>
  <c r="O22" i="25"/>
  <c r="R13" i="24"/>
  <c r="Q11" i="24"/>
  <c r="F21" i="24"/>
  <c r="S13" i="24"/>
  <c r="C9" i="24"/>
  <c r="G167" i="22"/>
  <c r="E167" i="22"/>
  <c r="F165" i="22"/>
  <c r="F164" i="22"/>
  <c r="G139" i="22"/>
  <c r="F139" i="22"/>
  <c r="E139" i="22"/>
  <c r="F128" i="22"/>
  <c r="F127" i="22"/>
  <c r="F126" i="22"/>
  <c r="L123" i="22"/>
  <c r="I123" i="22"/>
  <c r="G123" i="22"/>
  <c r="F123" i="22" s="1"/>
  <c r="M122" i="22"/>
  <c r="M129" i="22" s="1"/>
  <c r="J122" i="22"/>
  <c r="J129" i="22" s="1"/>
  <c r="G122" i="22"/>
  <c r="F121" i="22"/>
  <c r="F120" i="22"/>
  <c r="G119" i="22"/>
  <c r="G118" i="22"/>
  <c r="F117" i="22"/>
  <c r="G116" i="22"/>
  <c r="G115" i="22"/>
  <c r="F114" i="22"/>
  <c r="L113" i="22"/>
  <c r="I113" i="22"/>
  <c r="G113" i="22"/>
  <c r="F113" i="22" s="1"/>
  <c r="E113" i="22"/>
  <c r="L112" i="22"/>
  <c r="I112" i="22"/>
  <c r="L111" i="22"/>
  <c r="I111" i="22"/>
  <c r="F111" i="22"/>
  <c r="L110" i="22"/>
  <c r="I110" i="22"/>
  <c r="M101" i="22"/>
  <c r="G195" i="22" s="1"/>
  <c r="J101" i="22"/>
  <c r="F195" i="22" s="1"/>
  <c r="G101" i="22"/>
  <c r="E195" i="22" s="1"/>
  <c r="L100" i="22"/>
  <c r="I100" i="22"/>
  <c r="F100" i="22"/>
  <c r="L41" i="22"/>
  <c r="I41" i="22"/>
  <c r="F38" i="22"/>
  <c r="O24" i="22"/>
  <c r="N24" i="22"/>
  <c r="L24" i="22"/>
  <c r="K24" i="22"/>
  <c r="J24" i="22"/>
  <c r="H24" i="22"/>
  <c r="G24" i="22"/>
  <c r="F24" i="22"/>
  <c r="D24" i="22"/>
  <c r="M23" i="22"/>
  <c r="M24" i="22" s="1"/>
  <c r="I24" i="22"/>
  <c r="E24" i="22"/>
  <c r="O14" i="22"/>
  <c r="G193" i="22" s="1"/>
  <c r="N14" i="22"/>
  <c r="L14" i="22"/>
  <c r="K14" i="22"/>
  <c r="F193" i="22" s="1"/>
  <c r="J14" i="22"/>
  <c r="H14" i="22"/>
  <c r="D14" i="22"/>
  <c r="M12" i="22"/>
  <c r="M14" i="22" s="1"/>
  <c r="I12" i="22"/>
  <c r="I14" i="22" s="1"/>
  <c r="E12" i="22"/>
  <c r="E14" i="22" s="1"/>
  <c r="O125" i="21"/>
  <c r="F133" i="21" s="1"/>
  <c r="K125" i="21"/>
  <c r="E133" i="21" s="1"/>
  <c r="G125" i="21"/>
  <c r="D133" i="21" s="1"/>
  <c r="E141" i="21"/>
  <c r="G102" i="21"/>
  <c r="G91" i="21"/>
  <c r="F87" i="21"/>
  <c r="J87" i="21"/>
  <c r="K73" i="21"/>
  <c r="E132" i="21" s="1"/>
  <c r="G73" i="21"/>
  <c r="D132" i="21" s="1"/>
  <c r="O72" i="21"/>
  <c r="O71" i="21"/>
  <c r="M70" i="21"/>
  <c r="I70" i="21"/>
  <c r="E70" i="21"/>
  <c r="O60" i="21"/>
  <c r="K60" i="21"/>
  <c r="O59" i="21"/>
  <c r="K59" i="21"/>
  <c r="O58" i="21"/>
  <c r="K58" i="21"/>
  <c r="G58" i="21"/>
  <c r="G57" i="21"/>
  <c r="I56" i="21"/>
  <c r="E56" i="21"/>
  <c r="G177" i="22" l="1"/>
  <c r="G175" i="22" s="1"/>
  <c r="G187" i="22"/>
  <c r="G185" i="22" s="1"/>
  <c r="F177" i="22"/>
  <c r="F175" i="22" s="1"/>
  <c r="F187" i="22"/>
  <c r="F185" i="22" s="1"/>
  <c r="E177" i="22"/>
  <c r="E175" i="22" s="1"/>
  <c r="E187" i="22"/>
  <c r="E185" i="22" s="1"/>
  <c r="Q12" i="24"/>
  <c r="Q13" i="24" s="1"/>
  <c r="F24" i="24"/>
  <c r="G129" i="22"/>
  <c r="O73" i="21"/>
  <c r="F132" i="21" s="1"/>
  <c r="O61" i="21"/>
  <c r="F140" i="21" s="1"/>
  <c r="F141" i="21"/>
  <c r="G61" i="21"/>
  <c r="D140" i="21" s="1"/>
  <c r="K61" i="21"/>
  <c r="E140" i="21" s="1"/>
  <c r="O100" i="21" l="1"/>
  <c r="O102" i="21" s="1"/>
  <c r="K100" i="21"/>
  <c r="K102" i="21" s="1"/>
  <c r="F100" i="21"/>
  <c r="N90" i="21"/>
  <c r="J90" i="21"/>
  <c r="F90" i="21"/>
  <c r="O89" i="21"/>
  <c r="N86" i="21"/>
  <c r="J86" i="21"/>
  <c r="F86" i="21"/>
  <c r="O85" i="21"/>
  <c r="F85" i="21"/>
  <c r="O84" i="21"/>
  <c r="K84" i="21"/>
  <c r="K91" i="21" s="1"/>
  <c r="K47" i="21"/>
  <c r="E131" i="21" s="1"/>
  <c r="E134" i="21" s="1"/>
  <c r="E136" i="21" s="1"/>
  <c r="G47" i="21"/>
  <c r="O46" i="21"/>
  <c r="O45" i="21"/>
  <c r="O34" i="21"/>
  <c r="K34" i="21"/>
  <c r="O33" i="21"/>
  <c r="K33" i="21"/>
  <c r="O32" i="21"/>
  <c r="K32" i="21"/>
  <c r="G32" i="21"/>
  <c r="G31" i="21"/>
  <c r="J19" i="21"/>
  <c r="F19" i="21"/>
  <c r="N18" i="21"/>
  <c r="N17" i="21"/>
  <c r="O91" i="21" l="1"/>
  <c r="O35" i="21"/>
  <c r="O47" i="21"/>
  <c r="F131" i="21" s="1"/>
  <c r="F134" i="21" s="1"/>
  <c r="F136" i="21" s="1"/>
  <c r="G35" i="21"/>
  <c r="K35" i="21"/>
  <c r="E139" i="21" s="1"/>
  <c r="E142" i="21" s="1"/>
  <c r="E144" i="21" s="1"/>
  <c r="N19" i="21"/>
  <c r="F139" i="21" l="1"/>
  <c r="F142" i="21" s="1"/>
  <c r="F144" i="21" s="1"/>
  <c r="D131" i="21"/>
  <c r="D134" i="21" s="1"/>
  <c r="D136" i="21" s="1"/>
  <c r="D139" i="21"/>
  <c r="G254" i="18" l="1"/>
  <c r="G224" i="18"/>
  <c r="G253" i="18"/>
  <c r="G252" i="18"/>
  <c r="G251" i="18"/>
  <c r="G250" i="18"/>
  <c r="G249" i="18"/>
  <c r="G248" i="18"/>
  <c r="G247" i="18"/>
  <c r="G246" i="18"/>
  <c r="G245" i="18"/>
  <c r="G244" i="18"/>
  <c r="G243" i="18"/>
  <c r="G242" i="18"/>
  <c r="G241" i="18"/>
  <c r="G240" i="18"/>
  <c r="G239" i="18"/>
  <c r="G238" i="18"/>
  <c r="G235" i="18"/>
  <c r="G234" i="18"/>
  <c r="G233" i="18"/>
  <c r="G232" i="18"/>
  <c r="G231" i="18"/>
  <c r="G230" i="18"/>
  <c r="G229" i="18"/>
  <c r="G228" i="18"/>
  <c r="G227" i="18"/>
  <c r="G226" i="18"/>
  <c r="G177" i="18"/>
  <c r="G223" i="18"/>
  <c r="G222" i="18"/>
  <c r="G221" i="18"/>
  <c r="G220" i="18"/>
  <c r="G219" i="18"/>
  <c r="G218" i="18"/>
  <c r="G217" i="18"/>
  <c r="G216" i="18"/>
  <c r="G215" i="18"/>
  <c r="G214" i="18"/>
  <c r="G213" i="18"/>
  <c r="G212" i="18"/>
  <c r="G211" i="18"/>
  <c r="G210" i="18"/>
  <c r="G209" i="18"/>
  <c r="G208" i="18"/>
  <c r="G207" i="18"/>
  <c r="G206" i="18"/>
  <c r="G205" i="18"/>
  <c r="G204" i="18"/>
  <c r="G203" i="18"/>
  <c r="G202" i="18"/>
  <c r="G201" i="18"/>
  <c r="G200" i="18"/>
  <c r="G199" i="18"/>
  <c r="G198" i="18"/>
  <c r="G197" i="18"/>
  <c r="G196" i="18"/>
  <c r="G195" i="18"/>
  <c r="G194" i="18"/>
  <c r="G193" i="18"/>
  <c r="G192" i="18"/>
  <c r="G191" i="18"/>
  <c r="G190" i="18"/>
  <c r="G189" i="18"/>
  <c r="G188" i="18"/>
  <c r="G187" i="18"/>
  <c r="G186" i="18"/>
  <c r="G185" i="18"/>
  <c r="G184" i="18"/>
  <c r="G183" i="18"/>
  <c r="G182" i="18"/>
  <c r="G181" i="18"/>
  <c r="G180" i="18"/>
  <c r="G179" i="18"/>
  <c r="G178" i="18"/>
  <c r="G174" i="18"/>
  <c r="G173" i="18" s="1"/>
  <c r="G167" i="18"/>
  <c r="G168" i="18"/>
  <c r="G169" i="18"/>
  <c r="G170" i="18"/>
  <c r="G171" i="18"/>
  <c r="G172" i="18"/>
  <c r="G165" i="18" l="1"/>
  <c r="G164" i="18" s="1"/>
  <c r="G225" i="18"/>
  <c r="G176" i="18"/>
  <c r="G175" i="18" s="1"/>
  <c r="M364" i="18" l="1"/>
  <c r="J364" i="18"/>
  <c r="G359" i="18"/>
  <c r="G354" i="18" s="1"/>
  <c r="G364" i="18" s="1"/>
  <c r="F363" i="18"/>
  <c r="F362" i="18"/>
  <c r="F361" i="18"/>
  <c r="F360" i="18"/>
  <c r="F358" i="18"/>
  <c r="F357" i="18"/>
  <c r="F356" i="18"/>
  <c r="F355" i="18"/>
  <c r="F199" i="16" l="1"/>
  <c r="D199" i="16"/>
  <c r="E198" i="16"/>
  <c r="F57" i="16"/>
  <c r="I58" i="3" l="1"/>
  <c r="I45" i="3" l="1"/>
  <c r="I50" i="3" l="1"/>
  <c r="I109" i="3"/>
  <c r="I108" i="3"/>
  <c r="I76" i="3"/>
  <c r="E76" i="3" s="1"/>
  <c r="G6" i="3" l="1"/>
  <c r="F6" i="3" s="1"/>
  <c r="AC11" i="3" s="1"/>
  <c r="F45" i="3"/>
  <c r="F58" i="3"/>
  <c r="E56" i="3" l="1"/>
  <c r="E43" i="3"/>
  <c r="M70" i="18"/>
  <c r="M279" i="18"/>
  <c r="J279" i="18"/>
  <c r="G279" i="18"/>
  <c r="M267" i="18"/>
  <c r="J267" i="18"/>
  <c r="G267" i="18"/>
  <c r="I79" i="18"/>
  <c r="L79" i="18"/>
  <c r="F79" i="18"/>
  <c r="F12" i="16"/>
  <c r="K181" i="16"/>
  <c r="G181" i="16"/>
  <c r="C181" i="16"/>
  <c r="N153" i="16"/>
  <c r="J153" i="16"/>
  <c r="F153" i="16"/>
  <c r="C153" i="16" s="1"/>
  <c r="F129" i="16"/>
  <c r="F128" i="16"/>
  <c r="F119" i="16"/>
  <c r="C119" i="16" s="1"/>
  <c r="F118" i="16"/>
  <c r="C118" i="16" s="1"/>
  <c r="F474" i="18"/>
  <c r="F413" i="18"/>
  <c r="W485" i="18" l="1"/>
  <c r="F465" i="18" s="1"/>
  <c r="W477" i="18"/>
  <c r="F466" i="18" s="1"/>
  <c r="AC485" i="18" l="1"/>
  <c r="Z485" i="18"/>
  <c r="AA483" i="18"/>
  <c r="X483" i="18"/>
  <c r="X484" i="18"/>
  <c r="U483" i="18"/>
  <c r="W480" i="18"/>
  <c r="F471" i="18" s="1"/>
  <c r="X101" i="3" l="1"/>
  <c r="T101" i="3"/>
  <c r="W501" i="18" l="1"/>
  <c r="CX28" i="10" l="1"/>
  <c r="CX16" i="10"/>
  <c r="V441" i="18" l="1"/>
  <c r="U429" i="18"/>
  <c r="U430" i="18"/>
  <c r="U431" i="18"/>
  <c r="U432" i="18"/>
  <c r="U433" i="18"/>
  <c r="V497" i="18"/>
  <c r="U497" i="18"/>
  <c r="W497" i="18" l="1"/>
  <c r="L32" i="11"/>
  <c r="I32" i="11"/>
  <c r="F32" i="11"/>
  <c r="F20" i="11" l="1"/>
  <c r="Y480" i="18" l="1"/>
  <c r="AB472" i="18"/>
  <c r="AA472" i="18" s="1"/>
  <c r="AB471" i="18"/>
  <c r="AB480" i="18"/>
  <c r="AB482" i="18"/>
  <c r="AA482" i="18" s="1"/>
  <c r="AB463" i="18"/>
  <c r="AA463" i="18" s="1"/>
  <c r="AB455" i="18"/>
  <c r="AA455" i="18" s="1"/>
  <c r="AB469" i="18"/>
  <c r="Y471" i="18"/>
  <c r="Y458" i="18"/>
  <c r="X458" i="18" s="1"/>
  <c r="Y481" i="18"/>
  <c r="X481" i="18" s="1"/>
  <c r="Y469" i="18"/>
  <c r="Y482" i="18"/>
  <c r="X482" i="18" s="1"/>
  <c r="Y463" i="18"/>
  <c r="X463" i="18" s="1"/>
  <c r="Y455" i="18"/>
  <c r="X455" i="18" s="1"/>
  <c r="V458" i="18"/>
  <c r="V469" i="18"/>
  <c r="F423" i="18" s="1"/>
  <c r="V482" i="18"/>
  <c r="V463" i="18"/>
  <c r="V455" i="18"/>
  <c r="F409" i="18" s="1"/>
  <c r="X486" i="18"/>
  <c r="U486" i="18"/>
  <c r="AA485" i="18"/>
  <c r="X485" i="18"/>
  <c r="U485" i="18"/>
  <c r="AA484" i="18"/>
  <c r="U484" i="18"/>
  <c r="AA481" i="18"/>
  <c r="U481" i="18"/>
  <c r="AC480" i="18"/>
  <c r="Z480" i="18"/>
  <c r="U480" i="18"/>
  <c r="AA479" i="18"/>
  <c r="X479" i="18"/>
  <c r="U479" i="18"/>
  <c r="AA478" i="18"/>
  <c r="X478" i="18"/>
  <c r="U478" i="18"/>
  <c r="AA476" i="18"/>
  <c r="X476" i="18"/>
  <c r="U476" i="18"/>
  <c r="AA475" i="18"/>
  <c r="X475" i="18"/>
  <c r="U475" i="18"/>
  <c r="AA473" i="18"/>
  <c r="X473" i="18"/>
  <c r="U473" i="18"/>
  <c r="Z472" i="18"/>
  <c r="Y472" i="18"/>
  <c r="U472" i="18"/>
  <c r="AC471" i="18"/>
  <c r="Z471" i="18"/>
  <c r="U471" i="18"/>
  <c r="AA470" i="18"/>
  <c r="X470" i="18"/>
  <c r="U470" i="18"/>
  <c r="AC469" i="18"/>
  <c r="Z469" i="18"/>
  <c r="AC468" i="18"/>
  <c r="AB468" i="18"/>
  <c r="Z468" i="18"/>
  <c r="Y468" i="18"/>
  <c r="U468" i="18"/>
  <c r="AA467" i="18"/>
  <c r="X467" i="18"/>
  <c r="U467" i="18"/>
  <c r="AA466" i="18"/>
  <c r="Y466" i="18"/>
  <c r="X466" i="18" s="1"/>
  <c r="U466" i="18"/>
  <c r="AA465" i="18"/>
  <c r="X465" i="18"/>
  <c r="U465" i="18"/>
  <c r="AA464" i="18"/>
  <c r="X464" i="18"/>
  <c r="U464" i="18"/>
  <c r="AB462" i="18"/>
  <c r="AA462" i="18" s="1"/>
  <c r="Y462" i="18"/>
  <c r="X462" i="18" s="1"/>
  <c r="U462" i="18"/>
  <c r="AA461" i="18"/>
  <c r="X461" i="18"/>
  <c r="U461" i="18"/>
  <c r="AA460" i="18"/>
  <c r="X460" i="18"/>
  <c r="U460" i="18"/>
  <c r="AB459" i="18"/>
  <c r="AA459" i="18" s="1"/>
  <c r="X459" i="18"/>
  <c r="U459" i="18"/>
  <c r="AA458" i="18"/>
  <c r="AA457" i="18"/>
  <c r="X457" i="18"/>
  <c r="U457" i="18"/>
  <c r="AA456" i="18"/>
  <c r="X456" i="18"/>
  <c r="U456" i="18"/>
  <c r="AB454" i="18"/>
  <c r="AA454" i="18" s="1"/>
  <c r="Y454" i="18"/>
  <c r="X454" i="18" s="1"/>
  <c r="W487" i="18"/>
  <c r="W489" i="18" s="1"/>
  <c r="U454" i="18"/>
  <c r="Y501" i="18" l="1"/>
  <c r="U458" i="18"/>
  <c r="F412" i="18"/>
  <c r="U463" i="18"/>
  <c r="F417" i="18"/>
  <c r="AA471" i="18"/>
  <c r="F437" i="18"/>
  <c r="U482" i="18"/>
  <c r="X480" i="18"/>
  <c r="X471" i="18"/>
  <c r="Z487" i="18"/>
  <c r="Z489" i="18" s="1"/>
  <c r="Z501" i="18"/>
  <c r="X472" i="18"/>
  <c r="V487" i="18"/>
  <c r="V489" i="18" s="1"/>
  <c r="AA469" i="18"/>
  <c r="AA468" i="18"/>
  <c r="AB501" i="18"/>
  <c r="AC501" i="18"/>
  <c r="AC487" i="18"/>
  <c r="AC489" i="18" s="1"/>
  <c r="U469" i="18"/>
  <c r="V501" i="18"/>
  <c r="U501" i="18" s="1"/>
  <c r="AA480" i="18"/>
  <c r="AB487" i="18"/>
  <c r="AB489" i="18" s="1"/>
  <c r="X469" i="18"/>
  <c r="Y487" i="18"/>
  <c r="Y489" i="18" s="1"/>
  <c r="U455" i="18"/>
  <c r="X468" i="18"/>
  <c r="AB408" i="18"/>
  <c r="AA408" i="18" s="1"/>
  <c r="AB416" i="18"/>
  <c r="AA416" i="18" s="1"/>
  <c r="AB426" i="18"/>
  <c r="AA426" i="18" s="1"/>
  <c r="AB413" i="18"/>
  <c r="AA413" i="18" s="1"/>
  <c r="AB435" i="18"/>
  <c r="AC435" i="18"/>
  <c r="AC439" i="18"/>
  <c r="AA439" i="18" s="1"/>
  <c r="AB425" i="18"/>
  <c r="AC425" i="18"/>
  <c r="AC423" i="18"/>
  <c r="AB423" i="18"/>
  <c r="AC422" i="18"/>
  <c r="AB422" i="18"/>
  <c r="AA409" i="18"/>
  <c r="AA410" i="18"/>
  <c r="AA411" i="18"/>
  <c r="AA412" i="18"/>
  <c r="AA414" i="18"/>
  <c r="AA415" i="18"/>
  <c r="AA417" i="18"/>
  <c r="AA418" i="18"/>
  <c r="AA419" i="18"/>
  <c r="AA420" i="18"/>
  <c r="AA421" i="18"/>
  <c r="AA424" i="18"/>
  <c r="AA427" i="18"/>
  <c r="AA428" i="18"/>
  <c r="AA430" i="18"/>
  <c r="AA432" i="18"/>
  <c r="AA434" i="18"/>
  <c r="AA436" i="18"/>
  <c r="AA437" i="18"/>
  <c r="AA438" i="18"/>
  <c r="Y436" i="18"/>
  <c r="Y445" i="18" s="1"/>
  <c r="Y425" i="18"/>
  <c r="Y420" i="18"/>
  <c r="X420" i="18" s="1"/>
  <c r="Y416" i="18"/>
  <c r="X416" i="18" s="1"/>
  <c r="Z426" i="18"/>
  <c r="Y408" i="18"/>
  <c r="X408" i="18" s="1"/>
  <c r="Y412" i="18"/>
  <c r="X412" i="18" s="1"/>
  <c r="Z435" i="18"/>
  <c r="X435" i="18" s="1"/>
  <c r="Z439" i="18"/>
  <c r="X439" i="18" s="1"/>
  <c r="Y426" i="18"/>
  <c r="Z425" i="18"/>
  <c r="Z423" i="18"/>
  <c r="Y423" i="18"/>
  <c r="Z422" i="18"/>
  <c r="Y422" i="18"/>
  <c r="X409" i="18"/>
  <c r="X410" i="18"/>
  <c r="X411" i="18"/>
  <c r="X413" i="18"/>
  <c r="X414" i="18"/>
  <c r="X415" i="18"/>
  <c r="X417" i="18"/>
  <c r="X418" i="18"/>
  <c r="X419" i="18"/>
  <c r="X421" i="18"/>
  <c r="X424" i="18"/>
  <c r="X427" i="18"/>
  <c r="X428" i="18"/>
  <c r="X430" i="18"/>
  <c r="X432" i="18"/>
  <c r="X434" i="18"/>
  <c r="X437" i="18"/>
  <c r="X438" i="18"/>
  <c r="X440" i="18"/>
  <c r="U410" i="18"/>
  <c r="U411" i="18"/>
  <c r="U412" i="18"/>
  <c r="U414" i="18"/>
  <c r="U416" i="18"/>
  <c r="U418" i="18"/>
  <c r="U419" i="18"/>
  <c r="U420" i="18"/>
  <c r="U421" i="18"/>
  <c r="U424" i="18"/>
  <c r="U427" i="18"/>
  <c r="U428" i="18"/>
  <c r="U440" i="18"/>
  <c r="W437" i="18"/>
  <c r="U437" i="18" s="1"/>
  <c r="W436" i="18"/>
  <c r="U436" i="18" s="1"/>
  <c r="W434" i="18"/>
  <c r="U434" i="18" s="1"/>
  <c r="W438" i="18"/>
  <c r="U438" i="18" s="1"/>
  <c r="W417" i="18"/>
  <c r="U417" i="18" s="1"/>
  <c r="W415" i="18"/>
  <c r="U415" i="18" s="1"/>
  <c r="W413" i="18"/>
  <c r="U413" i="18" s="1"/>
  <c r="W409" i="18"/>
  <c r="U409" i="18" s="1"/>
  <c r="W408" i="18"/>
  <c r="U408" i="18" s="1"/>
  <c r="U487" i="18" l="1"/>
  <c r="AA487" i="18"/>
  <c r="X487" i="18"/>
  <c r="AA501" i="18"/>
  <c r="X501" i="18"/>
  <c r="AA435" i="18"/>
  <c r="AA425" i="18"/>
  <c r="AC441" i="18"/>
  <c r="AC443" i="18" s="1"/>
  <c r="AA423" i="18"/>
  <c r="AA422" i="18"/>
  <c r="AB441" i="18"/>
  <c r="AB443" i="18" s="1"/>
  <c r="X436" i="18"/>
  <c r="X426" i="18"/>
  <c r="X425" i="18"/>
  <c r="Z441" i="18"/>
  <c r="Z443" i="18" s="1"/>
  <c r="X423" i="18"/>
  <c r="X422" i="18"/>
  <c r="Y441" i="18"/>
  <c r="Y443" i="18" s="1"/>
  <c r="F416" i="18"/>
  <c r="F461" i="18"/>
  <c r="W423" i="18" s="1"/>
  <c r="U423" i="18" s="1"/>
  <c r="F464" i="18"/>
  <c r="W426" i="18" s="1"/>
  <c r="W435" i="18"/>
  <c r="U435" i="18" s="1"/>
  <c r="W439" i="18"/>
  <c r="U439" i="18" s="1"/>
  <c r="F463" i="18"/>
  <c r="W425" i="18" s="1"/>
  <c r="U425" i="18" s="1"/>
  <c r="F460" i="18"/>
  <c r="H447" i="18"/>
  <c r="H448" i="18"/>
  <c r="H449" i="18"/>
  <c r="H450" i="18"/>
  <c r="H452" i="18"/>
  <c r="H453" i="18"/>
  <c r="H454" i="18"/>
  <c r="H455" i="18"/>
  <c r="H456" i="18"/>
  <c r="H457" i="18"/>
  <c r="H458" i="18"/>
  <c r="H462" i="18"/>
  <c r="H466" i="18"/>
  <c r="H467" i="18"/>
  <c r="H468" i="18"/>
  <c r="H472" i="18"/>
  <c r="H446" i="18"/>
  <c r="F408" i="18"/>
  <c r="F415" i="18"/>
  <c r="W422" i="18" l="1"/>
  <c r="U422" i="18" s="1"/>
  <c r="F475" i="18"/>
  <c r="H475" i="18" s="1"/>
  <c r="AA441" i="18"/>
  <c r="AA443" i="18" s="1"/>
  <c r="H465" i="18"/>
  <c r="H464" i="18"/>
  <c r="U426" i="18"/>
  <c r="X441" i="18"/>
  <c r="U441" i="18" l="1"/>
  <c r="W441" i="18"/>
  <c r="F478" i="18"/>
  <c r="D406" i="18" l="1"/>
  <c r="F435" i="18"/>
  <c r="F426" i="18" l="1"/>
  <c r="F425" i="18"/>
  <c r="F422" i="18"/>
  <c r="H432" i="18"/>
  <c r="H430" i="18"/>
  <c r="H428" i="18"/>
  <c r="H419" i="18"/>
  <c r="H418" i="18"/>
  <c r="H411" i="18"/>
  <c r="H410" i="18"/>
  <c r="G413" i="18"/>
  <c r="H413" i="18" s="1"/>
  <c r="J451" i="18" l="1"/>
  <c r="I451" i="18"/>
  <c r="G451" i="18"/>
  <c r="H451" i="18" s="1"/>
  <c r="J413" i="18"/>
  <c r="I413" i="18"/>
  <c r="J469" i="18"/>
  <c r="I469" i="18"/>
  <c r="G469" i="18"/>
  <c r="H469" i="18" s="1"/>
  <c r="G383" i="18"/>
  <c r="G64" i="17"/>
  <c r="O62" i="17"/>
  <c r="J437" i="18"/>
  <c r="I437" i="18"/>
  <c r="G437" i="18"/>
  <c r="H437" i="18" s="1"/>
  <c r="J473" i="18"/>
  <c r="I473" i="18"/>
  <c r="G473" i="18"/>
  <c r="H473" i="18" s="1"/>
  <c r="N44" i="16"/>
  <c r="J44" i="16"/>
  <c r="J471" i="18"/>
  <c r="I471" i="18"/>
  <c r="G471" i="18"/>
  <c r="H471" i="18" s="1"/>
  <c r="J435" i="18"/>
  <c r="I435" i="18"/>
  <c r="J434" i="18"/>
  <c r="I434" i="18"/>
  <c r="J470" i="18"/>
  <c r="I470" i="18"/>
  <c r="G470" i="18"/>
  <c r="H470" i="18" s="1"/>
  <c r="G434" i="18"/>
  <c r="H434" i="18" s="1"/>
  <c r="I476" i="18" l="1"/>
  <c r="J476" i="18"/>
  <c r="J424" i="18"/>
  <c r="L68" i="18" l="1"/>
  <c r="L67" i="18"/>
  <c r="J68" i="18"/>
  <c r="J67" i="18"/>
  <c r="J70" i="18" s="1"/>
  <c r="G68" i="18"/>
  <c r="G67" i="18"/>
  <c r="N160" i="16"/>
  <c r="S152" i="16" s="1"/>
  <c r="C158" i="16"/>
  <c r="C156" i="16"/>
  <c r="C154" i="16"/>
  <c r="G153" i="16"/>
  <c r="F120" i="16"/>
  <c r="Q120" i="16" s="1"/>
  <c r="J423" i="18" l="1"/>
  <c r="I424" i="18"/>
  <c r="G424" i="18"/>
  <c r="H424" i="18" s="1"/>
  <c r="O85" i="16"/>
  <c r="K85" i="16"/>
  <c r="K86" i="16"/>
  <c r="O80" i="16"/>
  <c r="K80" i="16"/>
  <c r="F45" i="13" l="1"/>
  <c r="E45" i="13"/>
  <c r="D45" i="13"/>
  <c r="F44" i="13"/>
  <c r="E44" i="13"/>
  <c r="D44" i="13"/>
  <c r="G40" i="11" l="1"/>
  <c r="G404" i="18" l="1"/>
  <c r="G100" i="18" l="1"/>
  <c r="E100" i="18"/>
  <c r="F100" i="18" l="1"/>
  <c r="G415" i="18"/>
  <c r="H415" i="18" s="1"/>
  <c r="G414" i="18"/>
  <c r="H414" i="18" s="1"/>
  <c r="E35" i="18"/>
  <c r="G435" i="18" l="1"/>
  <c r="G476" i="18" l="1"/>
  <c r="H435" i="18"/>
  <c r="H476" i="18" s="1"/>
  <c r="F441" i="18"/>
  <c r="F443" i="18" s="1"/>
  <c r="H389" i="18" l="1"/>
  <c r="G420" i="18" l="1"/>
  <c r="H420" i="18" s="1"/>
  <c r="F115" i="18" l="1"/>
  <c r="G436" i="18" l="1"/>
  <c r="H436" i="18" s="1"/>
  <c r="F114" i="18"/>
  <c r="F113" i="18"/>
  <c r="E374" i="18"/>
  <c r="K47" i="17" l="1"/>
  <c r="I463" i="18" s="1"/>
  <c r="G47" i="17"/>
  <c r="G463" i="18" s="1"/>
  <c r="H463" i="18" s="1"/>
  <c r="O46" i="17"/>
  <c r="O45" i="17"/>
  <c r="O47" i="17" s="1"/>
  <c r="J463" i="18" s="1"/>
  <c r="M44" i="17"/>
  <c r="I44" i="17"/>
  <c r="E44" i="17"/>
  <c r="F64" i="18" l="1"/>
  <c r="G36" i="18" l="1"/>
  <c r="F60" i="17"/>
  <c r="G60" i="18"/>
  <c r="G66" i="18"/>
  <c r="G70" i="18" l="1"/>
  <c r="G426" i="18"/>
  <c r="H426" i="18" s="1"/>
  <c r="M90" i="18"/>
  <c r="J90" i="18"/>
  <c r="G90" i="18"/>
  <c r="F89" i="18"/>
  <c r="F340" i="18"/>
  <c r="F341" i="18"/>
  <c r="F342" i="18"/>
  <c r="M344" i="18"/>
  <c r="J344" i="18"/>
  <c r="E343" i="18"/>
  <c r="G381" i="18"/>
  <c r="G380" i="18"/>
  <c r="G109" i="18"/>
  <c r="G344" i="18" l="1"/>
  <c r="DA25" i="10" l="1"/>
  <c r="CZ25" i="10"/>
  <c r="CY25" i="10"/>
  <c r="CX25" i="10"/>
  <c r="DA11" i="10"/>
  <c r="CZ11" i="10"/>
  <c r="CY11" i="10"/>
  <c r="CX11" i="10"/>
  <c r="G154" i="16" l="1"/>
  <c r="K153" i="16"/>
  <c r="C45" i="13"/>
  <c r="F77" i="17"/>
  <c r="F78" i="17"/>
  <c r="F107" i="18"/>
  <c r="F108" i="18"/>
  <c r="G106" i="18"/>
  <c r="G105" i="18"/>
  <c r="F104" i="18"/>
  <c r="G103" i="18"/>
  <c r="K154" i="16" l="1"/>
  <c r="G102" i="18"/>
  <c r="F101" i="18"/>
  <c r="E71" i="3" l="1"/>
  <c r="Z81" i="3"/>
  <c r="Y81" i="3"/>
  <c r="V81" i="3"/>
  <c r="U81" i="3"/>
  <c r="G311" i="18" l="1"/>
  <c r="G321" i="18"/>
  <c r="L20" i="11" l="1"/>
  <c r="I20" i="11"/>
  <c r="G398" i="18" l="1"/>
  <c r="DA19" i="10" l="1"/>
  <c r="DA16" i="10"/>
  <c r="CZ16" i="10"/>
  <c r="CY16" i="10"/>
  <c r="CZ19" i="10"/>
  <c r="CY19" i="10"/>
  <c r="CX19" i="10"/>
  <c r="CX15" i="10" s="1"/>
  <c r="CX37" i="10" s="1"/>
  <c r="DA28" i="10"/>
  <c r="CZ28" i="10"/>
  <c r="CY28" i="10"/>
  <c r="DA15" i="10" l="1"/>
  <c r="CZ15" i="10"/>
  <c r="CY15" i="10"/>
  <c r="CX8" i="10"/>
  <c r="DA8" i="10"/>
  <c r="M383" i="18"/>
  <c r="J383" i="18"/>
  <c r="L381" i="18"/>
  <c r="I381" i="18"/>
  <c r="F381" i="18"/>
  <c r="F376" i="18"/>
  <c r="CY8" i="10" l="1"/>
  <c r="CY38" i="10"/>
  <c r="CZ8" i="10"/>
  <c r="CZ39" i="10"/>
  <c r="N57" i="16"/>
  <c r="J57" i="16"/>
  <c r="M384" i="18" l="1"/>
  <c r="J384" i="18"/>
  <c r="L380" i="18"/>
  <c r="I380" i="18"/>
  <c r="F380" i="18"/>
  <c r="L376" i="18"/>
  <c r="I376" i="18"/>
  <c r="L375" i="18"/>
  <c r="I375" i="18"/>
  <c r="L374" i="18"/>
  <c r="I374" i="18"/>
  <c r="F374" i="18"/>
  <c r="L373" i="18"/>
  <c r="I373" i="18"/>
  <c r="F373" i="18"/>
  <c r="E364" i="18"/>
  <c r="F354" i="18"/>
  <c r="F343" i="18"/>
  <c r="G331" i="18"/>
  <c r="E331" i="18"/>
  <c r="E321" i="18"/>
  <c r="E311" i="18"/>
  <c r="M301" i="18"/>
  <c r="J301" i="18"/>
  <c r="G300" i="18"/>
  <c r="G299" i="18"/>
  <c r="M290" i="18"/>
  <c r="J290" i="18"/>
  <c r="G290" i="18"/>
  <c r="F289" i="18"/>
  <c r="M256" i="18"/>
  <c r="J256" i="18"/>
  <c r="G256" i="18"/>
  <c r="G153" i="18"/>
  <c r="E153" i="18"/>
  <c r="F151" i="18"/>
  <c r="F150" i="18"/>
  <c r="F126" i="18"/>
  <c r="E126" i="18"/>
  <c r="G126" i="18"/>
  <c r="L110" i="18"/>
  <c r="I110" i="18"/>
  <c r="G110" i="18"/>
  <c r="M109" i="18"/>
  <c r="M116" i="18" s="1"/>
  <c r="J109" i="18"/>
  <c r="J116" i="18" s="1"/>
  <c r="L100" i="18"/>
  <c r="I100" i="18"/>
  <c r="L99" i="18"/>
  <c r="I99" i="18"/>
  <c r="L98" i="18"/>
  <c r="I98" i="18"/>
  <c r="F98" i="18"/>
  <c r="L97" i="18"/>
  <c r="I97" i="18"/>
  <c r="M80" i="18"/>
  <c r="J80" i="18"/>
  <c r="G80" i="18"/>
  <c r="G427" i="18" s="1"/>
  <c r="H427" i="18" s="1"/>
  <c r="K66" i="18"/>
  <c r="H66" i="18"/>
  <c r="F66" i="18"/>
  <c r="L63" i="18"/>
  <c r="I63" i="18"/>
  <c r="L62" i="18"/>
  <c r="I62" i="18"/>
  <c r="F62" i="18"/>
  <c r="L61" i="18"/>
  <c r="I61" i="18"/>
  <c r="F61" i="18"/>
  <c r="L60" i="18"/>
  <c r="I60" i="18"/>
  <c r="F60" i="18"/>
  <c r="L59" i="18"/>
  <c r="I59" i="18"/>
  <c r="L58" i="18"/>
  <c r="I58" i="18"/>
  <c r="F58" i="18"/>
  <c r="F57" i="18"/>
  <c r="O46" i="18"/>
  <c r="N46" i="18"/>
  <c r="L46" i="18"/>
  <c r="K46" i="18"/>
  <c r="J46" i="18"/>
  <c r="H46" i="18"/>
  <c r="G46" i="18"/>
  <c r="F46" i="18"/>
  <c r="D46" i="18"/>
  <c r="M45" i="18"/>
  <c r="M46" i="18" s="1"/>
  <c r="I45" i="18"/>
  <c r="I46" i="18" s="1"/>
  <c r="E45" i="18"/>
  <c r="E46" i="18" s="1"/>
  <c r="O36" i="18"/>
  <c r="N36" i="18"/>
  <c r="L36" i="18"/>
  <c r="K36" i="18"/>
  <c r="J36" i="18"/>
  <c r="H36" i="18"/>
  <c r="F36" i="18"/>
  <c r="D36" i="18"/>
  <c r="M35" i="18"/>
  <c r="M36" i="18" s="1"/>
  <c r="I35" i="18"/>
  <c r="I36" i="18" s="1"/>
  <c r="E36" i="18"/>
  <c r="L14" i="18"/>
  <c r="J14" i="18"/>
  <c r="I14" i="18"/>
  <c r="G14" i="18"/>
  <c r="F14" i="18"/>
  <c r="D14" i="18"/>
  <c r="F76" i="17"/>
  <c r="O75" i="17"/>
  <c r="O79" i="17" s="1"/>
  <c r="K75" i="17"/>
  <c r="K79" i="17" s="1"/>
  <c r="F75" i="17"/>
  <c r="O74" i="17"/>
  <c r="N63" i="17"/>
  <c r="J63" i="17"/>
  <c r="F63" i="17"/>
  <c r="L61" i="17"/>
  <c r="N61" i="17" s="1"/>
  <c r="H61" i="17"/>
  <c r="J61" i="17" s="1"/>
  <c r="N60" i="17"/>
  <c r="J60" i="17"/>
  <c r="N59" i="17"/>
  <c r="J59" i="17"/>
  <c r="F59" i="17"/>
  <c r="O58" i="17"/>
  <c r="F58" i="17"/>
  <c r="O57" i="17"/>
  <c r="O64" i="17" s="1"/>
  <c r="K57" i="17"/>
  <c r="K64" i="17" s="1"/>
  <c r="O34" i="17"/>
  <c r="K34" i="17"/>
  <c r="O33" i="17"/>
  <c r="K33" i="17"/>
  <c r="O32" i="17"/>
  <c r="K32" i="17"/>
  <c r="G32" i="17"/>
  <c r="G31" i="17"/>
  <c r="G35" i="17" s="1"/>
  <c r="G85" i="17" s="1"/>
  <c r="M30" i="17"/>
  <c r="I30" i="17"/>
  <c r="E30" i="17"/>
  <c r="J19" i="17"/>
  <c r="F19" i="17"/>
  <c r="N18" i="17"/>
  <c r="N17" i="17"/>
  <c r="K171" i="16"/>
  <c r="G171" i="16"/>
  <c r="C171" i="16"/>
  <c r="G170" i="16"/>
  <c r="K169" i="16"/>
  <c r="G169" i="16"/>
  <c r="C169" i="16"/>
  <c r="K159" i="16"/>
  <c r="G159" i="16"/>
  <c r="K158" i="16"/>
  <c r="G158" i="16"/>
  <c r="G143" i="16"/>
  <c r="K142" i="16"/>
  <c r="C142" i="16"/>
  <c r="K141" i="16"/>
  <c r="G141" i="16"/>
  <c r="C141" i="16"/>
  <c r="N130" i="16"/>
  <c r="J130" i="16"/>
  <c r="G422" i="18"/>
  <c r="H422" i="18" s="1"/>
  <c r="N120" i="16"/>
  <c r="J120" i="16"/>
  <c r="O105" i="16"/>
  <c r="K105" i="16"/>
  <c r="G105" i="16"/>
  <c r="G103" i="16"/>
  <c r="G102" i="16"/>
  <c r="D101" i="16"/>
  <c r="D100" i="16"/>
  <c r="G99" i="16"/>
  <c r="N88" i="16"/>
  <c r="F88" i="16"/>
  <c r="N87" i="16"/>
  <c r="G87" i="16"/>
  <c r="F87" i="16" s="1"/>
  <c r="O86" i="16"/>
  <c r="G86" i="16"/>
  <c r="F85" i="16"/>
  <c r="O84" i="16"/>
  <c r="K84" i="16"/>
  <c r="G84" i="16"/>
  <c r="O83" i="16"/>
  <c r="K83" i="16"/>
  <c r="G83" i="16"/>
  <c r="O82" i="16"/>
  <c r="K82" i="16"/>
  <c r="D82" i="16"/>
  <c r="O81" i="16"/>
  <c r="K81" i="16"/>
  <c r="D81" i="16"/>
  <c r="N40" i="16"/>
  <c r="J40" i="16"/>
  <c r="F40" i="16"/>
  <c r="F44" i="16" s="1"/>
  <c r="C39" i="16"/>
  <c r="N12" i="16"/>
  <c r="J12" i="16"/>
  <c r="N11" i="16"/>
  <c r="J11" i="16"/>
  <c r="F11" i="16"/>
  <c r="N10" i="16"/>
  <c r="J10" i="16"/>
  <c r="F10" i="16"/>
  <c r="N9" i="16"/>
  <c r="J9" i="16"/>
  <c r="F9" i="16"/>
  <c r="I389" i="18"/>
  <c r="E56" i="13"/>
  <c r="D56" i="13"/>
  <c r="C55" i="13"/>
  <c r="F46" i="13"/>
  <c r="N45" i="13"/>
  <c r="J45" i="13"/>
  <c r="N44" i="13"/>
  <c r="J44" i="13"/>
  <c r="M22" i="13"/>
  <c r="L22" i="13"/>
  <c r="I22" i="13"/>
  <c r="H22" i="13"/>
  <c r="E22" i="13"/>
  <c r="D22" i="13"/>
  <c r="F20" i="13"/>
  <c r="N17" i="13"/>
  <c r="N22" i="13" s="1"/>
  <c r="J17" i="13"/>
  <c r="J22" i="13" s="1"/>
  <c r="F17" i="13"/>
  <c r="M9" i="13"/>
  <c r="L9" i="13"/>
  <c r="I9" i="13"/>
  <c r="H9" i="13"/>
  <c r="F9" i="13"/>
  <c r="E9" i="13"/>
  <c r="D9" i="13"/>
  <c r="N8" i="13"/>
  <c r="N9" i="13" s="1"/>
  <c r="J8" i="13"/>
  <c r="J9" i="13" s="1"/>
  <c r="C8" i="13"/>
  <c r="G408" i="18"/>
  <c r="H408" i="18" s="1"/>
  <c r="K41" i="11"/>
  <c r="K64" i="11" s="1"/>
  <c r="I41" i="11"/>
  <c r="I64" i="11" s="1"/>
  <c r="G41" i="11"/>
  <c r="G64" i="11" s="1"/>
  <c r="CY36" i="10"/>
  <c r="Z101" i="3"/>
  <c r="Y101" i="3"/>
  <c r="X95" i="3"/>
  <c r="T95" i="3"/>
  <c r="E95" i="3"/>
  <c r="Z80" i="3"/>
  <c r="Y80" i="3"/>
  <c r="V80" i="3"/>
  <c r="V77" i="3" s="1"/>
  <c r="U80" i="3"/>
  <c r="U77" i="3" s="1"/>
  <c r="X71" i="3"/>
  <c r="W71" i="3"/>
  <c r="T71" i="3"/>
  <c r="Z73" i="3"/>
  <c r="Z71" i="3" s="1"/>
  <c r="V73" i="3"/>
  <c r="U73" i="3"/>
  <c r="AA71" i="3"/>
  <c r="Y71" i="3"/>
  <c r="AA62" i="3"/>
  <c r="Z62" i="3"/>
  <c r="Y62" i="3"/>
  <c r="W62" i="3"/>
  <c r="V62" i="3"/>
  <c r="U62" i="3"/>
  <c r="T62" i="3"/>
  <c r="Z60" i="3"/>
  <c r="V60" i="3"/>
  <c r="Z58" i="3"/>
  <c r="Y58" i="3"/>
  <c r="Y56" i="3" s="1"/>
  <c r="V58" i="3"/>
  <c r="U58" i="3"/>
  <c r="U56" i="3" s="1"/>
  <c r="AA56" i="3"/>
  <c r="X56" i="3"/>
  <c r="W56" i="3"/>
  <c r="T56" i="3"/>
  <c r="AA47" i="3"/>
  <c r="Z47" i="3"/>
  <c r="Y47" i="3"/>
  <c r="X47" i="3"/>
  <c r="W47" i="3"/>
  <c r="V47" i="3"/>
  <c r="U47" i="3"/>
  <c r="T47" i="3"/>
  <c r="Z43" i="3"/>
  <c r="Y43" i="3"/>
  <c r="X43" i="3"/>
  <c r="W43" i="3"/>
  <c r="V43" i="3"/>
  <c r="U43" i="3"/>
  <c r="T43" i="3"/>
  <c r="X32" i="3"/>
  <c r="T32" i="3"/>
  <c r="X28" i="3"/>
  <c r="T28" i="3"/>
  <c r="AA25" i="3"/>
  <c r="AA11" i="3" s="1"/>
  <c r="X22" i="3"/>
  <c r="T22" i="3"/>
  <c r="Z17" i="3"/>
  <c r="V17" i="3"/>
  <c r="V16" i="3"/>
  <c r="T16" i="3"/>
  <c r="Z15" i="3"/>
  <c r="Z11" i="3" s="1"/>
  <c r="Y15" i="3"/>
  <c r="Y11" i="3" s="1"/>
  <c r="V15" i="3"/>
  <c r="V11" i="3" s="1"/>
  <c r="U11" i="3"/>
  <c r="AA40" i="3" l="1"/>
  <c r="AA38" i="3" s="1"/>
  <c r="G412" i="18"/>
  <c r="H412" i="18" s="1"/>
  <c r="F13" i="16"/>
  <c r="R121" i="16"/>
  <c r="I460" i="18"/>
  <c r="R120" i="16"/>
  <c r="R122" i="16" s="1"/>
  <c r="I422" i="18"/>
  <c r="S121" i="16"/>
  <c r="J460" i="18"/>
  <c r="S120" i="16"/>
  <c r="S122" i="16" s="1"/>
  <c r="J422" i="18"/>
  <c r="G416" i="18"/>
  <c r="H416" i="18" s="1"/>
  <c r="G425" i="18"/>
  <c r="H425" i="18" s="1"/>
  <c r="F110" i="18"/>
  <c r="G116" i="18"/>
  <c r="V56" i="3"/>
  <c r="V40" i="3" s="1"/>
  <c r="F188" i="16"/>
  <c r="N19" i="17"/>
  <c r="J188" i="16"/>
  <c r="N188" i="16"/>
  <c r="K156" i="16"/>
  <c r="F22" i="13"/>
  <c r="O35" i="17"/>
  <c r="J425" i="18" s="1"/>
  <c r="Z56" i="3"/>
  <c r="Z40" i="3" s="1"/>
  <c r="Z38" i="3" s="1"/>
  <c r="G301" i="18"/>
  <c r="J46" i="13"/>
  <c r="Y40" i="3"/>
  <c r="Y38" i="3" s="1"/>
  <c r="U40" i="3"/>
  <c r="N46" i="13"/>
  <c r="X11" i="3"/>
  <c r="V71" i="3"/>
  <c r="K35" i="17"/>
  <c r="I425" i="18" s="1"/>
  <c r="T11" i="3"/>
  <c r="W40" i="3"/>
  <c r="W38" i="3" s="1"/>
  <c r="E40" i="3"/>
  <c r="E38" i="3" s="1"/>
  <c r="AC38" i="3" s="1"/>
  <c r="T40" i="3"/>
  <c r="T38" i="3" s="1"/>
  <c r="X40" i="3"/>
  <c r="X38" i="3" s="1"/>
  <c r="CZ36" i="10"/>
  <c r="CX36" i="10"/>
  <c r="O89" i="16"/>
  <c r="J421" i="18" s="1"/>
  <c r="G89" i="16"/>
  <c r="G421" i="18" s="1"/>
  <c r="H421" i="18" s="1"/>
  <c r="J13" i="16"/>
  <c r="O108" i="16"/>
  <c r="J459" i="18" s="1"/>
  <c r="K108" i="16"/>
  <c r="I459" i="18" s="1"/>
  <c r="U71" i="3"/>
  <c r="J172" i="16"/>
  <c r="N13" i="16"/>
  <c r="G108" i="16"/>
  <c r="G459" i="18" s="1"/>
  <c r="H459" i="18" s="1"/>
  <c r="N144" i="16"/>
  <c r="K143" i="16"/>
  <c r="G79" i="17"/>
  <c r="F74" i="17"/>
  <c r="F130" i="16"/>
  <c r="C143" i="16"/>
  <c r="F144" i="16"/>
  <c r="K170" i="16"/>
  <c r="N172" i="16"/>
  <c r="G142" i="16"/>
  <c r="J144" i="16"/>
  <c r="F172" i="16"/>
  <c r="C170" i="16"/>
  <c r="G384" i="18"/>
  <c r="F375" i="18"/>
  <c r="G156" i="16"/>
  <c r="O85" i="17" l="1"/>
  <c r="K85" i="17"/>
  <c r="AE38" i="3"/>
  <c r="AD38" i="3"/>
  <c r="S153" i="16"/>
  <c r="S154" i="16" s="1"/>
  <c r="J461" i="18"/>
  <c r="R153" i="16"/>
  <c r="I461" i="18"/>
  <c r="Q153" i="16"/>
  <c r="G461" i="18"/>
  <c r="H461" i="18" s="1"/>
  <c r="Q121" i="16"/>
  <c r="Q122" i="16" s="1"/>
  <c r="G460" i="18"/>
  <c r="H460" i="18" s="1"/>
  <c r="I391" i="18"/>
  <c r="I397" i="18" s="1"/>
  <c r="H391" i="18"/>
  <c r="H397" i="18" s="1"/>
  <c r="I390" i="18"/>
  <c r="U38" i="3"/>
  <c r="V38" i="3"/>
  <c r="G107" i="25" l="1"/>
  <c r="G87" i="23"/>
  <c r="G142" i="26"/>
  <c r="G53" i="24"/>
  <c r="I392" i="18"/>
  <c r="F107" i="25" l="1"/>
  <c r="F87" i="23"/>
  <c r="F142" i="26"/>
  <c r="F53" i="24"/>
  <c r="G409" i="18"/>
  <c r="H409" i="18" s="1"/>
  <c r="G417" i="18" l="1"/>
  <c r="H417" i="18" s="1"/>
  <c r="G389" i="18" l="1"/>
  <c r="K89" i="16" l="1"/>
  <c r="J88" i="16"/>
  <c r="J87" i="16"/>
  <c r="J160" i="16"/>
  <c r="I421" i="18" l="1"/>
  <c r="G248" i="29"/>
  <c r="G273" i="16"/>
  <c r="R152" i="16"/>
  <c r="R154" i="16" s="1"/>
  <c r="I423" i="18"/>
  <c r="H390" i="18"/>
  <c r="H392" i="18" s="1"/>
  <c r="G276" i="11"/>
  <c r="G275" i="17"/>
  <c r="G274" i="13"/>
  <c r="F160" i="16" l="1"/>
  <c r="Q152" i="16" l="1"/>
  <c r="Q154" i="16" s="1"/>
  <c r="F248" i="29"/>
  <c r="F273" i="16"/>
  <c r="G390" i="18"/>
  <c r="G423" i="18"/>
  <c r="F275" i="17"/>
  <c r="F274" i="13"/>
  <c r="F276" i="11"/>
  <c r="G441" i="18" l="1"/>
  <c r="H423" i="18"/>
  <c r="G405" i="18"/>
  <c r="G391" i="18"/>
  <c r="G392" i="18" s="1"/>
  <c r="G399" i="18" l="1"/>
  <c r="G397" i="18"/>
  <c r="G34" i="28" l="1"/>
  <c r="G36" i="28"/>
  <c r="G35" i="28"/>
  <c r="G33" i="28"/>
  <c r="G37" i="28" l="1"/>
  <c r="E230" i="28" s="1"/>
  <c r="E254" i="28" s="1"/>
  <c r="F112" i="21"/>
  <c r="G114" i="21"/>
  <c r="D141" i="21" s="1"/>
  <c r="D142" i="21" s="1"/>
  <c r="D144" i="21" s="1"/>
</calcChain>
</file>

<file path=xl/comments1.xml><?xml version="1.0" encoding="utf-8"?>
<comments xmlns="http://schemas.openxmlformats.org/spreadsheetml/2006/main">
  <authors>
    <author>Экономист</author>
  </authors>
  <commentList>
    <comment ref="F12" authorId="0">
      <text>
        <r>
          <rPr>
            <b/>
            <sz val="9"/>
            <color indexed="81"/>
            <rFont val="Tahoma"/>
            <family val="2"/>
            <charset val="204"/>
          </rPr>
          <t>Экономист:</t>
        </r>
        <r>
          <rPr>
            <sz val="9"/>
            <color indexed="81"/>
            <rFont val="Tahoma"/>
            <family val="2"/>
            <charset val="204"/>
          </rPr>
          <t xml:space="preserve">
письмо № 20-02-3165/1 от 26.11.2021 о доведении средств на охрану </t>
        </r>
      </text>
    </comment>
  </commentList>
</comments>
</file>

<file path=xl/sharedStrings.xml><?xml version="1.0" encoding="utf-8"?>
<sst xmlns="http://schemas.openxmlformats.org/spreadsheetml/2006/main" count="5835" uniqueCount="958">
  <si>
    <t>УТВЕРЖДАЮ</t>
  </si>
  <si>
    <t>(руководитель, учреждение)</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</si>
  <si>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</si>
  <si>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</si>
  <si>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</si>
  <si>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</si>
  <si>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</si>
  <si>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</si>
  <si>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</si>
  <si>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</si>
  <si>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</si>
  <si>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</si>
  <si>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</si>
  <si>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</si>
  <si>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за пределами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</si>
  <si>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</si>
  <si>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</si>
  <si>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</si>
  <si>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</si>
  <si>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</si>
  <si>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</si>
  <si>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</si>
  <si>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</si>
  <si>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</si>
  <si>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</si>
  <si>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</si>
  <si>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</si>
  <si>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</si>
  <si>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</si>
  <si>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доходы от оказания услуг, работ, компенсации затрат учреждений, всего</t>
  </si>
  <si>
    <t>в том числе:</t>
  </si>
  <si>
    <t>Расходы, всего</t>
  </si>
  <si>
    <t>111</t>
  </si>
  <si>
    <t>211</t>
  </si>
  <si>
    <t>266</t>
  </si>
  <si>
    <t>112</t>
  </si>
  <si>
    <t>214</t>
  </si>
  <si>
    <t>226</t>
  </si>
  <si>
    <t>119</t>
  </si>
  <si>
    <t>213</t>
  </si>
  <si>
    <t>853</t>
  </si>
  <si>
    <t>297</t>
  </si>
  <si>
    <t>244</t>
  </si>
  <si>
    <t>221</t>
  </si>
  <si>
    <t>222</t>
  </si>
  <si>
    <t>223</t>
  </si>
  <si>
    <t>225</t>
  </si>
  <si>
    <t>310</t>
  </si>
  <si>
    <t>345</t>
  </si>
  <si>
    <t>346</t>
  </si>
  <si>
    <t>Выплаты, уменьшающие доход, всего</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</si>
  <si>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</si>
  <si>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</si>
  <si>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</si>
  <si>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</si>
  <si>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</si>
  <si>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</si>
  <si>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</si>
  <si>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</si>
  <si>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</si>
  <si>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</si>
  <si>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</si>
  <si>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</si>
  <si>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</si>
  <si>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</si>
  <si>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</si>
  <si>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</si>
  <si>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</si>
  <si>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</si>
  <si>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</si>
  <si>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</si>
  <si>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</si>
  <si>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</si>
  <si>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</si>
  <si>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</si>
  <si>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</si>
  <si>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</si>
  <si>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</si>
  <si>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</si>
  <si>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</si>
  <si>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</si>
  <si>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</si>
  <si>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</si>
  <si>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</si>
  <si>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</si>
  <si>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</si>
  <si>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</si>
  <si>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</si>
  <si>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</si>
  <si>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</si>
  <si>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</si>
  <si>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</si>
  <si>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</si>
  <si>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</si>
  <si>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</si>
  <si>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</si>
  <si>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</si>
  <si>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</si>
  <si>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</si>
  <si>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</si>
  <si>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</si>
  <si>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</si>
  <si>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</si>
  <si>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</si>
  <si>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</si>
  <si>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</si>
  <si>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</si>
  <si>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</si>
  <si>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</si>
  <si>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</si>
  <si>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</si>
  <si>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</si>
  <si>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</si>
  <si>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</si>
  <si>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</si>
  <si>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Администрация города Сургута</t>
  </si>
  <si>
    <t>(расшифровка подписи)</t>
  </si>
  <si>
    <t>9</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</si>
  <si>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</si>
  <si>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</si>
  <si>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</si>
  <si>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</si>
  <si>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</si>
  <si>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</si>
  <si>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</si>
  <si>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</si>
  <si>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</si>
  <si>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</si>
  <si>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1.1</t>
  </si>
  <si>
    <t>26100</t>
  </si>
  <si>
    <t>1.2</t>
  </si>
  <si>
    <t>26200</t>
  </si>
  <si>
    <t>1.3</t>
  </si>
  <si>
    <t>26300</t>
  </si>
  <si>
    <t>1.4</t>
  </si>
  <si>
    <t>26400</t>
  </si>
  <si>
    <t>1.4.1</t>
  </si>
  <si>
    <t>26410</t>
  </si>
  <si>
    <t>1.4.1.1</t>
  </si>
  <si>
    <t>26411</t>
  </si>
  <si>
    <t>1.4.1.2</t>
  </si>
  <si>
    <t>26412</t>
  </si>
  <si>
    <t>1.4.2</t>
  </si>
  <si>
    <t>26420</t>
  </si>
  <si>
    <t>1.4.2.1</t>
  </si>
  <si>
    <t>26421</t>
  </si>
  <si>
    <t>1.4.2.2</t>
  </si>
  <si>
    <t>26422</t>
  </si>
  <si>
    <t>1.4.3</t>
  </si>
  <si>
    <t>26430</t>
  </si>
  <si>
    <t>1.4.4</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</si>
  <si>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</si>
  <si>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</si>
  <si>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</si>
  <si>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</si>
  <si>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</si>
  <si>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</si>
  <si>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</si>
  <si>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</si>
  <si>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</si>
  <si>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</si>
  <si>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</si>
  <si>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</si>
  <si>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</si>
  <si>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</si>
  <si>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</si>
  <si>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</si>
  <si>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</si>
  <si>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</si>
  <si>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(должность)</t>
  </si>
  <si>
    <t>(фамилия, инициалы)</t>
  </si>
  <si>
    <t>(телефон)</t>
  </si>
  <si>
    <t>"</t>
  </si>
  <si>
    <t xml:space="preserve"> г.</t>
  </si>
  <si>
    <t>СОГЛАСОВАНО</t>
  </si>
  <si>
    <t>(подпись)</t>
  </si>
  <si>
    <t>№ п/п</t>
  </si>
  <si>
    <t>1.1.</t>
  </si>
  <si>
    <t>1.2.</t>
  </si>
  <si>
    <t>в соответствии с Федеральным законом № 223-ФЗ</t>
  </si>
  <si>
    <t>1.4.4.1.</t>
  </si>
  <si>
    <t>1.4.4.2.</t>
  </si>
  <si>
    <t>за счет прочих источников финансового обеспечения</t>
  </si>
  <si>
    <t>Код по бюджетной классификации</t>
  </si>
  <si>
    <t>4.1</t>
  </si>
  <si>
    <t>1.3.1</t>
  </si>
  <si>
    <t>26310</t>
  </si>
  <si>
    <t>26310.1</t>
  </si>
  <si>
    <t>1.3.2</t>
  </si>
  <si>
    <t>26320</t>
  </si>
  <si>
    <t>26421.1</t>
  </si>
  <si>
    <t>26430.1</t>
  </si>
  <si>
    <t>26440</t>
  </si>
  <si>
    <t>26441</t>
  </si>
  <si>
    <t>26442</t>
  </si>
  <si>
    <t>1.4.5</t>
  </si>
  <si>
    <t>1.4.5.1</t>
  </si>
  <si>
    <t>26451.1</t>
  </si>
  <si>
    <t>1.4.5.2</t>
  </si>
  <si>
    <t>ОТПРАВЬ НА НАБЛЮДАТЕЛЬНЫЙ СОВЕТ</t>
  </si>
  <si>
    <t>Сперва письмо в Комитет</t>
  </si>
  <si>
    <t>После утверждения в комитете - такое же письмо в ЦООД</t>
  </si>
  <si>
    <t>Печати где надпись 
УТВЕРЖДАЮ</t>
  </si>
  <si>
    <t>на 2023 г</t>
  </si>
  <si>
    <t>2023</t>
  </si>
  <si>
    <t>8 (3462) 35-12-56</t>
  </si>
  <si>
    <t xml:space="preserve">Обоснования (расчеты) плановых показателей поступлений и выплат. </t>
  </si>
  <si>
    <t>Обоснования (расчеты) плановых показателей поступлений.</t>
  </si>
  <si>
    <t>Доходы от оказания услуг (выполнения работ) в рамках установленного муниципального задания</t>
  </si>
  <si>
    <t>Источник доходов : субсидия на выполнение муниципального задания</t>
  </si>
  <si>
    <t>N п/п</t>
  </si>
  <si>
    <t>Наименование услуг (работ)</t>
  </si>
  <si>
    <t>Ед.изм.</t>
  </si>
  <si>
    <t>на 2021 год (на текущий финансовый год)</t>
  </si>
  <si>
    <t>на 2022 год (на первый год планового периода)</t>
  </si>
  <si>
    <t>на 2023 год (на второй год планового периода)</t>
  </si>
  <si>
    <t>Объем услуг (работ), установленный муниципальным заданием</t>
  </si>
  <si>
    <t>Планируемая стоимость за единицу, руб</t>
  </si>
  <si>
    <t>Всего доходов, руб</t>
  </si>
  <si>
    <t>1.</t>
  </si>
  <si>
    <t xml:space="preserve"> - </t>
  </si>
  <si>
    <t>2.</t>
  </si>
  <si>
    <t>количество публичных выступлений, единица</t>
  </si>
  <si>
    <t>3.</t>
  </si>
  <si>
    <t>Итого :</t>
  </si>
  <si>
    <t>Источник доходов :  приносящая доход деятельность</t>
  </si>
  <si>
    <t>4.</t>
  </si>
  <si>
    <t>Прочие доходы, поступающие для обеспечения оказания услуг (выполнения работ) в рамках установленного муниципального задания</t>
  </si>
  <si>
    <t>Наименование дохода</t>
  </si>
  <si>
    <t>рублей</t>
  </si>
  <si>
    <t>Доходы в виде целевых субсидий, а также субсидий на осуществление капитальных вложений</t>
  </si>
  <si>
    <t>Наименование</t>
  </si>
  <si>
    <t>Расчет объема доходов</t>
  </si>
  <si>
    <t xml:space="preserve">Субсидия на цели, не связанные с финансовым обеспечением выполнения муниципального задания </t>
  </si>
  <si>
    <t>Доходы от оказания услуг (выполнения работ) вне рамок установленного муниципального задания</t>
  </si>
  <si>
    <t>Источник финансового обеспечения: субсидия на финансовое обеспечение выполнения муниципального задания</t>
  </si>
  <si>
    <t>Код вида финансового обеспечения: 4</t>
  </si>
  <si>
    <t>Код субсидии: 3-001-0000</t>
  </si>
  <si>
    <t>Итого</t>
  </si>
  <si>
    <t>Код вида финансового обеспечения: 5</t>
  </si>
  <si>
    <t>Источник финансового обеспечения: приносящая доход деятельность</t>
  </si>
  <si>
    <t>Код вида финансового обеспечения: 2</t>
  </si>
  <si>
    <t>Код субсидии: 0-000-0000</t>
  </si>
  <si>
    <t>Источник финансового обеспечения: субсидия на иные цели</t>
  </si>
  <si>
    <t>Наименование расходов</t>
  </si>
  <si>
    <t>Средний размер выплаты на одного работника в день, руб</t>
  </si>
  <si>
    <t>Количество дней</t>
  </si>
  <si>
    <t>Сумма, руб</t>
  </si>
  <si>
    <t>Источник финансового обеспечения: субсидия на финансовое обеспечение  выполнения муниципального задания</t>
  </si>
  <si>
    <t xml:space="preserve">Отраслевой код: 3.04.4.02.20980.100000 </t>
  </si>
  <si>
    <t>Количество выплат</t>
  </si>
  <si>
    <t>Выплата материальной помощи за счет фонда оплаты труда, не относящаяся к выплатам поощрительного, стимулирующего характера</t>
  </si>
  <si>
    <t>Выплата единовременного денежного поощрения</t>
  </si>
  <si>
    <t>Расходы на единовременное вознаграждение работникам в связи с юбилейными датами (КОСГУ 211)</t>
  </si>
  <si>
    <t>Итого:</t>
  </si>
  <si>
    <t>Средний размер выплаты на одного работника в день, руб.</t>
  </si>
  <si>
    <t>Коли-чество работников, чел.</t>
  </si>
  <si>
    <t>Пособие за первые три дня за счет средств работодателя (КОСГУ 266)</t>
  </si>
  <si>
    <t>здесь скрыл внебюджет Соц выплаты, Мат помощь, Юбилеи 211</t>
  </si>
  <si>
    <t>Расходы на ежеквартальную материальная помощь работникам находящимся по уходу за ребенком до трех лет (КОСГУ 211)</t>
  </si>
  <si>
    <t>1.2. Обоснования (расчеты) расходов на иные выплаты персоналу учреждений, за исключением фонда оплаты труда:</t>
  </si>
  <si>
    <t>1.2.1. Обоснования (расчеты) расходов, связанных с возмещением работникам (сотрудникам) расходов, связанных со служебными командировками</t>
  </si>
  <si>
    <t xml:space="preserve">Код субсидии: </t>
  </si>
  <si>
    <t xml:space="preserve">Отраслевой код: </t>
  </si>
  <si>
    <t>на 2020 год (на текущий финансовый год)</t>
  </si>
  <si>
    <t>на 2021 год (на первый год планового периода)</t>
  </si>
  <si>
    <t>на 2022 год (на второй год планового периода)</t>
  </si>
  <si>
    <t>Средний размер выплаты на одного работ-ника</t>
  </si>
  <si>
    <t xml:space="preserve">Средний размер выплаты на одного работ-ника </t>
  </si>
  <si>
    <t>здесь скрыл 2-ку суточные 212  и проезд и проживание в командировке 226</t>
  </si>
  <si>
    <t>1.2.2. Обоснования (расчеты) расходов  на прохождение медицинского осмотра:</t>
  </si>
  <si>
    <t>здесь скрыл 4-ку медосмотр</t>
  </si>
  <si>
    <t>Средний размер стоимостина одного работника, руб</t>
  </si>
  <si>
    <t>Возмещение расходов на прохождение медицинского осмотра</t>
  </si>
  <si>
    <t>на 20__год (на текущий финансовый год)</t>
  </si>
  <si>
    <t>на 20__год (на первый год планового периода)</t>
  </si>
  <si>
    <t>на 20__год (на второй год планового периода)</t>
  </si>
  <si>
    <t>Количество работников, чел</t>
  </si>
  <si>
    <t>Сумма взноса, руб</t>
  </si>
  <si>
    <t>Код субсидии: 3-544-0302</t>
  </si>
  <si>
    <t>1.3.2. Обоснования (расчеты) страховых взносов, начисленных на иные выплаты (за исключением выплаты заработной платы):</t>
  </si>
  <si>
    <t>Наименование выплаты</t>
  </si>
  <si>
    <t>Сумма выплаты в год, руб</t>
  </si>
  <si>
    <t>Размер ставки, %</t>
  </si>
  <si>
    <t>Единовременное вознаграждение работникам в связи с юбилейными датами (КОСГУ 213)</t>
  </si>
  <si>
    <t>Материальная помощь работникам, вступающим в первый брак (КОСГУ 213)</t>
  </si>
  <si>
    <t>Выплата единовременного пособия в связи выходом на пенсию (КОСГУ 266)</t>
  </si>
  <si>
    <t>2. Обоснования (расчеты) расходов на социальные и иные выплаты населению (строка 2200):</t>
  </si>
  <si>
    <t>Код субсидии:__________________</t>
  </si>
  <si>
    <t>Отраслевой код:________________</t>
  </si>
  <si>
    <t>3. Обоснования (расчеты) расходов на уплату налогов, сборов и иных платежей (строка 2300):</t>
  </si>
  <si>
    <t>Налоговая база, руб</t>
  </si>
  <si>
    <t>Ставка налога, %</t>
  </si>
  <si>
    <t>Сумма исчисленного налога, подлежащего уплате, руб</t>
  </si>
  <si>
    <t>скрыл поля про налоги Авроры</t>
  </si>
  <si>
    <t>Уплата налога на имущество (КОСГУ 291)</t>
  </si>
  <si>
    <t>Оплата земельного налога (КОСГУ 291)</t>
  </si>
  <si>
    <t>Плата за негативное воздействие на окружающую среду (КОСГУ 291)</t>
  </si>
  <si>
    <t>4. Обоснования (расчеты) прочих выплат (кроме выплат на закупку товаров, работ, услуг) (строка 2500):</t>
  </si>
  <si>
    <t>Кол-во</t>
  </si>
  <si>
    <t>Сумма,</t>
  </si>
  <si>
    <t>руб</t>
  </si>
  <si>
    <t>5. Обоснования (расчеты) расходов на закупку товаров, работ, услуг (строка 2600):</t>
  </si>
  <si>
    <t>5.1 Обоснования (расчеты) расходов на услуги связи:</t>
  </si>
  <si>
    <t>Отраслевой код: 3.04.4.02.20980.100000 (КОСГУ 221)</t>
  </si>
  <si>
    <t>Кол-во номеров</t>
  </si>
  <si>
    <t>Кол-во платежей  в год</t>
  </si>
  <si>
    <t>Стоимость за ед., руб</t>
  </si>
  <si>
    <t>Сумма, руб.</t>
  </si>
  <si>
    <t>Кол-во платежей в год</t>
  </si>
  <si>
    <t>Услуги по предоставлению местной, внутризоновой, междугородней и международной телефонной связи</t>
  </si>
  <si>
    <t>количество подключенных тарифов</t>
  </si>
  <si>
    <t>Междугороднее и международнее телефонное соединение</t>
  </si>
  <si>
    <t>мин</t>
  </si>
  <si>
    <t>Связь с повременным учетом местных телефоных соединений</t>
  </si>
  <si>
    <t xml:space="preserve">Услуги по предоставлению телефонных линий связи в постоянное пользование  </t>
  </si>
  <si>
    <t>кол-во номеров</t>
  </si>
  <si>
    <t>Оплата услуг почтовой связи</t>
  </si>
  <si>
    <t>кол-во почтовых отправлений</t>
  </si>
  <si>
    <t>Затраты на сеть Интернет и VPN</t>
  </si>
  <si>
    <t>количество каналов</t>
  </si>
  <si>
    <t>5.2. Обоснования (расчеты) расходов на оплату транспортных услуг:</t>
  </si>
  <si>
    <t>Отраслевой код: 3.04.4.02.20980.100000 (КОСГУ 222)</t>
  </si>
  <si>
    <t>Кол-во км (часов)</t>
  </si>
  <si>
    <t>Цена услуги перевозки, руб</t>
  </si>
  <si>
    <t>Транспортные услуги (такси)</t>
  </si>
  <si>
    <t>Услуга по грузоперевозке</t>
  </si>
  <si>
    <t>5.3. Обоснования (расчеты) расходов на оплату коммунальных услуг:</t>
  </si>
  <si>
    <t>Объем потребления ресурсов</t>
  </si>
  <si>
    <t>Тариф (с учетом НДС), руб</t>
  </si>
  <si>
    <t>01.01.2021-30.06.2021</t>
  </si>
  <si>
    <t>01.07.2021-30.06.2022</t>
  </si>
  <si>
    <t>01.07.2022 - 30.06.2023</t>
  </si>
  <si>
    <t xml:space="preserve">  01.07.2022 - 2023</t>
  </si>
  <si>
    <t>Теплоэнергия, Гкал</t>
  </si>
  <si>
    <t>Эл.энергия, КВт.ч</t>
  </si>
  <si>
    <t>Теплоэнергия на горячее водоснабжение, КВт.ч</t>
  </si>
  <si>
    <t>Отраслевой код: 3.04.4.02.20980.100000 (КОСГУ 223 КВР 244)</t>
  </si>
  <si>
    <t>Водопотребление, м3</t>
  </si>
  <si>
    <t>Водопотребление на горячее водоснабжение, м3</t>
  </si>
  <si>
    <t>Водоотведение, м3</t>
  </si>
  <si>
    <t>Вывоз ТКО</t>
  </si>
  <si>
    <t>01.01.2020-30.06.2020</t>
  </si>
  <si>
    <t>01.07.2020-30.06.2021</t>
  </si>
  <si>
    <t>01.07.2021 - 30.06.2022</t>
  </si>
  <si>
    <t>5.4. Обоснования (расчеты) расходов на оплату аренды имущества:</t>
  </si>
  <si>
    <t>Кол-во кв.м (объектов)</t>
  </si>
  <si>
    <t>Период аренды</t>
  </si>
  <si>
    <t>Ставка аренной платы</t>
  </si>
  <si>
    <t>Всего расходов, руб</t>
  </si>
  <si>
    <t xml:space="preserve">Ставка аренной платы  </t>
  </si>
  <si>
    <t>( с учетом НДС), руб</t>
  </si>
  <si>
    <t>5.5. Обоснования (расчеты) расходов на оплату работ, услуг по содержанию имущества:</t>
  </si>
  <si>
    <t>5.5.1. Обоснования (расчеты) расходов на дератизацию и дезинсекцию</t>
  </si>
  <si>
    <t>здесь скрыл дезарацию дезинсекцию помещений</t>
  </si>
  <si>
    <t>Отраслевой код: 3.04.4.02.20980.100000 (КОСГУ 225)</t>
  </si>
  <si>
    <t>Обслуживаемая площадь, кв.м</t>
  </si>
  <si>
    <t>Стоимость 1 кв.м. в месяц, руб</t>
  </si>
  <si>
    <t>Периодичность оказания услуг, месяц</t>
  </si>
  <si>
    <t xml:space="preserve">Стоимость 1 кв.м. </t>
  </si>
  <si>
    <t>в месяц, руб</t>
  </si>
  <si>
    <t xml:space="preserve">Дератизация помещений </t>
  </si>
  <si>
    <t>2512,1/1154,5</t>
  </si>
  <si>
    <t xml:space="preserve">Дезинсекция помещений </t>
  </si>
  <si>
    <t>5.5.2. Обоснования (расчеты) расходов на услуги по санитарному содержанию зданий и территорий:</t>
  </si>
  <si>
    <t>Площадь, кв.м (пг.м.)</t>
  </si>
  <si>
    <t xml:space="preserve">Стоимость </t>
  </si>
  <si>
    <t>Кол-во уборок</t>
  </si>
  <si>
    <t>Кол-во месяцев</t>
  </si>
  <si>
    <t>Стоимость 1 кв.м, руб</t>
  </si>
  <si>
    <t xml:space="preserve">Кол-во уборок </t>
  </si>
  <si>
    <t>1 кв.м, руб</t>
  </si>
  <si>
    <t xml:space="preserve"> в месяц</t>
  </si>
  <si>
    <t>в месяц</t>
  </si>
  <si>
    <t>Санитарное содержание и обслуживание (уборка) офисных и бытовых помещений</t>
  </si>
  <si>
    <t>здесь скрыл 4-ку  ТО инж сетей, Чистку Кроли, Снег с територии</t>
  </si>
  <si>
    <t>Тех обслуживание внутренних и наружных инженерных сетей в арендуемом помещение Энгельса, 11</t>
  </si>
  <si>
    <t xml:space="preserve">Чистка кровли (сбивание сосулек)  на объекте </t>
  </si>
  <si>
    <t xml:space="preserve">Механизированная уборка снега  на территории объекта </t>
  </si>
  <si>
    <t>Очистка крыши от снега и наледи на объекте</t>
  </si>
  <si>
    <t>здесь скрыл 2-ку ТО инж сетей, Чистку Кроли, Снег с територии</t>
  </si>
  <si>
    <t>5.5.3. Обоснования (расчеты) расходов на услуги по техническому обслуживанию систем и оборудования:</t>
  </si>
  <si>
    <t>Ед.изм</t>
  </si>
  <si>
    <t>Кол-во, ед.</t>
  </si>
  <si>
    <t>Кол-во месяцев обслуживания</t>
  </si>
  <si>
    <t>Стоимость обслуживания в месяц, руб</t>
  </si>
  <si>
    <t>здесь скрыл 225 (собственное имущество) ТО охранно-пожарной сигнализации и КТС (еще есть КТС на 226, оно осталось, т.к. это не собственное имущество)</t>
  </si>
  <si>
    <t xml:space="preserve">Техническое обслуживание и ремонт охранно-пожарной сигнализации на объекте </t>
  </si>
  <si>
    <t>кв.м</t>
  </si>
  <si>
    <t>Техническое обслуживание кнопки тревожной сигнализации на объекте здания</t>
  </si>
  <si>
    <t>устройство</t>
  </si>
  <si>
    <t>Услуги по ТО и ремонту средств вычислительной и офисной техники, переферийного оборудования, устройств связи и защиты информации (АЦК-планирование и АЦК-финансы)</t>
  </si>
  <si>
    <t>Программное ТО (чистка временных данных, проверка на вирусы, обновление ПО) , тех. обслуживание (очистка от пыли и тонера, очистка сканера, очистка роликов, тестирование копированием на разных форматах)</t>
  </si>
  <si>
    <t>Огнезащитная обработка декораций</t>
  </si>
  <si>
    <t>Техническое обслуживание и текущий ремонт машины стиральной Electrolux W 4240H и сушильного барабана Electrolux Т 4290 (ежемесячно, кроме января, июля, августа)</t>
  </si>
  <si>
    <t>Программное ТО (чистка временных данных, проверка на вирусы, обновление ПО), тех. обслуживание (очистка от пыли и тонера, очистка сканера, очистка роликов, тестирование копированием на разных форматах)</t>
  </si>
  <si>
    <t>Заправка картриджей</t>
  </si>
  <si>
    <t>услуга</t>
  </si>
  <si>
    <t>5.5.4. Обоснования (расчеты) расходов на услуги по перезарядке и техническому освидетельствованию огнетушителей</t>
  </si>
  <si>
    <t>здесь скрыл по 2-ке перезарядку огнетушителей и ТО</t>
  </si>
  <si>
    <t>Стоимость</t>
  </si>
  <si>
    <t>за ед. руб</t>
  </si>
  <si>
    <t>Перезарядка огнетушителей</t>
  </si>
  <si>
    <t>ОП-4</t>
  </si>
  <si>
    <t>Техническое освидетельствование огнетушителей</t>
  </si>
  <si>
    <t>2.1.</t>
  </si>
  <si>
    <t>5.5.5. Обоснования (расчеты) расходов на санитарно-эпидемиологическую экспертизу, лабораторные исследования:</t>
  </si>
  <si>
    <t xml:space="preserve"> за ед. руб</t>
  </si>
  <si>
    <t>5.6. Обоснования (расчеты) расходов на оплату прочих работ, услуг:</t>
  </si>
  <si>
    <t>5.6.1. Обоснования (расчеты) расходов на невооруженную охрану объекта</t>
  </si>
  <si>
    <t>Отраслевой код: 3.04.4.02.20980.100000 (КОСГУ 226)</t>
  </si>
  <si>
    <t>Кол-во постов охраны</t>
  </si>
  <si>
    <t xml:space="preserve">Кол-во часов охраны </t>
  </si>
  <si>
    <t>Стоимость охраны за час, руб.</t>
  </si>
  <si>
    <t>в год, час.</t>
  </si>
  <si>
    <t>Невооруженная охрана объекта</t>
  </si>
  <si>
    <t>5.6.2. Обоснования (расчеты) расходов оплату прочих работ, услуг (за исключением расходов на невооруженную охрану объекта)</t>
  </si>
  <si>
    <t>Отраслевой код: 3.04.4.02.20980.100000 (КОСГУ 226, 224)</t>
  </si>
  <si>
    <t>Единица измерений</t>
  </si>
  <si>
    <t>Количество, ед</t>
  </si>
  <si>
    <t>Услуги по охране объектов путем оперативного реагирования наряда полиции по тревожному сообщению (КТС)</t>
  </si>
  <si>
    <t>месяц</t>
  </si>
  <si>
    <t>Сопровождение СЭД "Дело"</t>
  </si>
  <si>
    <t>Услуги по сопровождению сайта</t>
  </si>
  <si>
    <t xml:space="preserve">Неисключительное право на использование программного обеспечения Антивирус </t>
  </si>
  <si>
    <t>Услуги по администрированию Баз данных</t>
  </si>
  <si>
    <t>Обслуживание  электронного справочника "Гарант"</t>
  </si>
  <si>
    <t>Перевыпуск сертификата ключа проверки электронной подписи для осуществлений операций на сайте http://zakupki.gov.ru</t>
  </si>
  <si>
    <t>здесь скрыл ТО Филармония</t>
  </si>
  <si>
    <t>Услуги по техническому сопровождению при проведении мероприятий в МАУ "Сургутская филармония" (КОСГУ 226)</t>
  </si>
  <si>
    <t>Услуги по обслуживанию программных продуктов  "1С учреждения" (КОСГУ 226)</t>
  </si>
  <si>
    <t>Арендная плата за помещение по адресу г. Сургут ул. Энгельса, д.11 (КОСГУ 224)</t>
  </si>
  <si>
    <t>м2</t>
  </si>
  <si>
    <t>Средняя стоимость за ед., руб</t>
  </si>
  <si>
    <t>за ед., руб</t>
  </si>
  <si>
    <t>Код субсидии: 3-512-0000</t>
  </si>
  <si>
    <t>Отраслевой код: 3.34.0.03.20980.200000 (КОСГУ 226)</t>
  </si>
  <si>
    <t>Услуги по специальной оценке условий труда</t>
  </si>
  <si>
    <t>здесь скрыл иные на РАО (ВОИС) и другие расходы по 226</t>
  </si>
  <si>
    <t>5.7. Обоснования (расчеты) расходов на проведение ремонта зданий и сооружений:</t>
  </si>
  <si>
    <t>Единица измерения</t>
  </si>
  <si>
    <t>5.8. Обоснования (расчеты) расходов на страхование:</t>
  </si>
  <si>
    <t xml:space="preserve"> за ед., руб</t>
  </si>
  <si>
    <t xml:space="preserve">Отчисления  авторам произведений по лицензионным договорам РАО (ВОИС) </t>
  </si>
  <si>
    <t>Оплата услуг по  размещению рекламно-информационных материалов</t>
  </si>
  <si>
    <t>Услуги по проведению онлайн -семинара</t>
  </si>
  <si>
    <t>5.9. Обоснования (расчеты) расходов на приобретение основных средств, материальных запасов:</t>
  </si>
  <si>
    <t>Отраслевой код: 3.04.4.02.20980.100000 (КОСГУ 346, 345)</t>
  </si>
  <si>
    <t>здесь скрыл иные 346</t>
  </si>
  <si>
    <t>Отраслевой код: 3.04.4.02.20980.100000 (КОСГУ 346)</t>
  </si>
  <si>
    <t xml:space="preserve">Увеличение стоимости материальных запасов </t>
  </si>
  <si>
    <t xml:space="preserve">шт. </t>
  </si>
  <si>
    <t>здесь скрыл СИЗ (маски и анисептик) по иным 346 (84 487,20)</t>
  </si>
  <si>
    <t>Код субсидии: 3-542-0304</t>
  </si>
  <si>
    <t>Приобретение средств индивидуальной защиты, дезинфицирующих средств, средств для уборки и обработки административных помещений (маски)</t>
  </si>
  <si>
    <t>Приобретение средств индивидуальной защиты, дезинфицирующих средств, средств для уборки и обработки административных помещений (антисептик)</t>
  </si>
  <si>
    <t>л</t>
  </si>
  <si>
    <t>Отраслевой код: 3.04.4.02.L5170.100000</t>
  </si>
  <si>
    <t>Приобретение основных средств (оборудования) (КОСГУ 310)</t>
  </si>
  <si>
    <t>Код субсидии: 3-001-5204</t>
  </si>
  <si>
    <t>Код субсидии: 3-001-2214</t>
  </si>
  <si>
    <t>здесь скрыл Депутаткие по иным 345,346,310</t>
  </si>
  <si>
    <t>Отраслевой код: 3.04.4.02.20980.100000</t>
  </si>
  <si>
    <t>Приобретение основных средств (КОСГУ 310)  (депутатские средства)</t>
  </si>
  <si>
    <t>здесь скрыл Выпадающие по ОС по иным</t>
  </si>
  <si>
    <t>шт</t>
  </si>
  <si>
    <t>Полиграфия (афишы, банеры, листовки) (КОСГУ 346)</t>
  </si>
  <si>
    <t>Изготовление полиграфической продукции (бланков билетов строгой отчетности) (КОСГУ 349)</t>
  </si>
  <si>
    <t>экз.</t>
  </si>
  <si>
    <t>шт.</t>
  </si>
  <si>
    <t>Источник финансового обеспечения</t>
  </si>
  <si>
    <t>2021 год</t>
  </si>
  <si>
    <t>2022 год</t>
  </si>
  <si>
    <t>Субсидия на иные цели (5-ка)</t>
  </si>
  <si>
    <t>скрыть, проверка для себя</t>
  </si>
  <si>
    <t>Субсидия на финансовое обеспечение выполнения муниципального задания(4-ка)</t>
  </si>
  <si>
    <t>Доход от приносящей доход деятельности (2-ка)</t>
  </si>
  <si>
    <t>Муниципальные услуги:</t>
  </si>
  <si>
    <t>Муниципальные работы:</t>
  </si>
  <si>
    <t>Муниципальное автономное учреждение «Театр актера и куклы «Петрушка»</t>
  </si>
  <si>
    <t xml:space="preserve">Источник доходов : субсидия на цели, не связанные с финансовым обеспечением выполнения муниципального задания </t>
  </si>
  <si>
    <t>Аналитическая группа : 00000000000000130</t>
  </si>
  <si>
    <t>Аналитическая группа : 00000000000000150</t>
  </si>
  <si>
    <t>иные выплаты</t>
  </si>
  <si>
    <t>Возврат субсидии, в целях устранения выявленных нарушений КСП (КОСГУ 295)</t>
  </si>
  <si>
    <t>Услуги по проведению оценки профессиональных рисков в учреждении (КОСГУ 226)</t>
  </si>
  <si>
    <t>Услуги по реализации билетов (электронных билетов) через сайт https://quicktickets.ru в сети Интернет (КОСГУ 226)</t>
  </si>
  <si>
    <t>Услуги по проведению оценки качества огнезащитной обработки декараций</t>
  </si>
  <si>
    <t>Услуги санитарной обработки кулеров для воды (2 шт.)</t>
  </si>
  <si>
    <t>Прочие выплаты (суточые) (КОСГУ 212)</t>
  </si>
  <si>
    <t>Прочие работы и, услуги (проезд, проживание в коммандировке) (КОСГУ 226)</t>
  </si>
  <si>
    <t>Кол-во дней</t>
  </si>
  <si>
    <t>Кол-во работников, чел.</t>
  </si>
  <si>
    <t>300/500</t>
  </si>
  <si>
    <t>Здесь скрыл 4-ку коммуналку (КОСГУ 223 КВР 243)</t>
  </si>
  <si>
    <t>Здесь скрыл 2-ку коммуналку (КОСГУ 223 КВР 243)</t>
  </si>
  <si>
    <t>МАУ "ТАиК "Петрушка"</t>
  </si>
  <si>
    <t>заработная плата</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</si>
  <si>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</si>
  <si>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</si>
  <si>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</si>
  <si>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</si>
  <si>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</si>
  <si>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</si>
  <si>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</si>
  <si>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</si>
  <si>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</si>
  <si>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</si>
  <si>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</si>
  <si>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</si>
  <si>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</si>
  <si>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</si>
  <si>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</si>
  <si>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</si>
  <si>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</si>
  <si>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</si>
  <si>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</si>
  <si>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</si>
  <si>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</si>
  <si>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</si>
  <si>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</si>
  <si>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</si>
  <si>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</si>
  <si>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</si>
  <si>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</si>
  <si>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212, 214, 226, 266</t>
  </si>
  <si>
    <t>211, 266</t>
  </si>
  <si>
    <t>Код субсидии: 3-790-2301</t>
  </si>
  <si>
    <t>Отраслевой код: 3.04.4.02.85160.000000</t>
  </si>
  <si>
    <t>221,222,223,224, 225,226,310,340</t>
  </si>
  <si>
    <t>Оплата услуг нотариуса по внесению изменений в учредительные документы (Устав) (КОСГУ 226)</t>
  </si>
  <si>
    <r>
      <t>Отраслевой код: 3.04.4.02.20980.</t>
    </r>
    <r>
      <rPr>
        <sz val="11"/>
        <color rgb="FFC00000"/>
        <rFont val="Times New Roman"/>
        <family val="1"/>
        <charset val="204"/>
      </rPr>
      <t>7</t>
    </r>
    <r>
      <rPr>
        <sz val="11"/>
        <color theme="1"/>
        <rFont val="Times New Roman"/>
        <family val="1"/>
        <charset val="204"/>
      </rPr>
      <t>00000 (КОСГУ 226)</t>
    </r>
  </si>
  <si>
    <t>Оплата дизайнерских услуг и услуг по организации фотосессии коллектива театра (КОСГУ 226)  (депутатские средства)</t>
  </si>
  <si>
    <t>Приобретение материальных запасов (КОСГУ 346)  (депутатские средства)</t>
  </si>
  <si>
    <t>Приобретение материальных запасов (сувенирная продукция) (КОСГУ 349)  (депутатские средства)</t>
  </si>
  <si>
    <t>Оплата штрафов по административным правонарушениям (КОСГУ 295)</t>
  </si>
  <si>
    <t>Оплата услуг по организации и проведению фестиваля "КУКЛАград", услуг по разработке макетов и печати</t>
  </si>
  <si>
    <t>Услуги по предоставлению неисключительного права использования базы данных - Электронной системы "Культура"</t>
  </si>
  <si>
    <t>Объем расходов на содержание недвижимого имущества и особого ценного движимого имущества, расходов на уплату налогов</t>
  </si>
  <si>
    <t>Объем расходов на приобретение основных средств</t>
  </si>
  <si>
    <t>Комплектующие (жидкости для машин мыльных пузырей, генераторов дыма и тумана, картриджи) (КОСГУ 346)</t>
  </si>
  <si>
    <t>Оказание услугпо утилизации оборудования (шуруповерт, телефон, электроконвектор) и декорации "Комар" (КОСГУ 226)</t>
  </si>
  <si>
    <t>2023 год</t>
  </si>
  <si>
    <t>доп средства</t>
  </si>
  <si>
    <t xml:space="preserve">федеральные </t>
  </si>
  <si>
    <t>план по 4</t>
  </si>
  <si>
    <t>30440220980100000</t>
  </si>
  <si>
    <t>30010000</t>
  </si>
  <si>
    <t>30440220980200000</t>
  </si>
  <si>
    <t>30440220980210000</t>
  </si>
  <si>
    <t>30440220980300000</t>
  </si>
  <si>
    <t>30440220980700000</t>
  </si>
  <si>
    <t>304402L5170000000</t>
  </si>
  <si>
    <t>30012214</t>
  </si>
  <si>
    <t>119/266</t>
  </si>
  <si>
    <t>2/211/266</t>
  </si>
  <si>
    <t>112/266</t>
  </si>
  <si>
    <t>К.А. Базарова</t>
  </si>
  <si>
    <t>10</t>
  </si>
  <si>
    <t>на 2022 год (на текущий финансовый год)</t>
  </si>
  <si>
    <t>на 2023 год (на первый год планового периода)</t>
  </si>
  <si>
    <t>на 2024 год (на второй год планового периода)</t>
  </si>
  <si>
    <t>Всего на 2023 год 
(на первый год планового периода), руб</t>
  </si>
  <si>
    <t>Всего на 2022 год 
(на текущий финансовый год), руб</t>
  </si>
  <si>
    <t>Всего на 2024 год 
(на второй год планового периода), руб</t>
  </si>
  <si>
    <t>Всего доходов на 2022 год 
(на текущий финансовый год), руб</t>
  </si>
  <si>
    <t>Всего доходов на 2023 год 
(на первый год планового периода), руб</t>
  </si>
  <si>
    <t>Всего доходов на 2024 год 
(на второй год планового периода), руб</t>
  </si>
  <si>
    <t>по пфхд 2022 год</t>
  </si>
  <si>
    <t>отклонение</t>
  </si>
  <si>
    <t>Иные расходы (отчисления профсоюзам)
 (КОСГУ 297)</t>
  </si>
  <si>
    <t>Оплата госпошлины за внесение изменений в учредительные документы 
(КОСГУ 291)</t>
  </si>
  <si>
    <t>КВФО 4</t>
  </si>
  <si>
    <t>КВФО 2</t>
  </si>
  <si>
    <t>01.01.2022-30.06.2022</t>
  </si>
  <si>
    <t>01.07.2022-31.12.2022</t>
  </si>
  <si>
    <t>01.01.20223-30.06.2023</t>
  </si>
  <si>
    <t>01.07.2023 - 31.12.2023</t>
  </si>
  <si>
    <t>01.01.20224-30.06.2024</t>
  </si>
  <si>
    <t>01.07.2024 - 31.12.2024</t>
  </si>
  <si>
    <t>Отраслевой код: 3.04.4.02.20980.100000 (КОСГУ 223 КВР 243)</t>
  </si>
  <si>
    <t>Поставка новогодних подарков 
(КОСГУ 349)</t>
  </si>
  <si>
    <t>Приобретение материальных запасов (бутилированной питьевой воды) 
(КОСГУ 342)</t>
  </si>
  <si>
    <t>Приобретение материальных запасов (лекарственные препараты и материалы, применяемые в медицинских целях) 
(КОСГУ 341)</t>
  </si>
  <si>
    <t>Приобретение мягкого инвентаря и вещевого обмундирования (спецодежды,  спецобуви, одежды, обуви, рабочих перчаток и т.п.) 
(КОСГУ 345)</t>
  </si>
  <si>
    <t>00000000</t>
  </si>
  <si>
    <t>Огнезащитная обработка деревянных конструкций</t>
  </si>
  <si>
    <t>соц выплаты</t>
  </si>
  <si>
    <t xml:space="preserve">зп </t>
  </si>
  <si>
    <t>добавить содержание</t>
  </si>
  <si>
    <t>окружн</t>
  </si>
  <si>
    <t>выхлд на пенс</t>
  </si>
  <si>
    <t>до 3-х лет</t>
  </si>
  <si>
    <t>ПО ПРОЕКТУ БЮДЖЕТА</t>
  </si>
  <si>
    <t>ДОВЕДЕННЫЕ ЛИМИТЫ</t>
  </si>
  <si>
    <t>Объем расходов на уплату налогов*</t>
  </si>
  <si>
    <t>количество видеотрансляций
 (в записи), единица</t>
  </si>
  <si>
    <t>количество проведенных мероприятий, единица</t>
  </si>
  <si>
    <t>количество участников 
мероприятий, человек</t>
  </si>
  <si>
    <t>количество новых (капитально-возобновленных) постановок, единица</t>
  </si>
  <si>
    <t>количество участников мероприятий, человек</t>
  </si>
  <si>
    <t>900400О.99.0.ББ67АА01002 Показ (организация показа) спектаклей (театральных постановок).  С учетом всех форм. На выезде.(платно)</t>
  </si>
  <si>
    <t>900400О.99.0.ББ67АА00002 Показ (организация показа) спектаклей (театральных постановок) с учетом всех форм. Стационар.(платно)</t>
  </si>
  <si>
    <t>900400.Р.86.1.05740004 Организация и проведение культурно-массовых мероприятий (Творческих (фестиваль, выстав-ка, конкурс, смотр) (платно)</t>
  </si>
  <si>
    <t>900400.Р.86.1.05740005 Организация и проведение культурно-массовых мероприятий (культурно - массовых (иные зрелищные мероприятия) (платно)</t>
  </si>
  <si>
    <t>900400.Р.86.1.05740006 Организация и проведение культурно-массовых мероприятий (Мастер-классы) (платно)</t>
  </si>
  <si>
    <t>900400О.99.0.ББ80АА01002 Показ (организация показа) спектаклей (театральных постановок).  С учетом всех форм. На выезде.(бесплатно)</t>
  </si>
  <si>
    <t>900000О.99.0.БИ57АА00000 Показ спектаклей (театральных постановок). 
В информационно-коммуникационной сети "Интернет" (онлайн). Онлайн - на официальном сайте учреждения</t>
  </si>
  <si>
    <t>900400.Р.86.1.04950005 Организация и проведение культурно-массовых мероприятий (культурно - массовых (иные зрелищные мероприятия) (бесплатно)</t>
  </si>
  <si>
    <t>900211.Р.86.1.04800001 Создание спектаклей. Малая форма (камерный спектакль). С учетом всех форм (бесплатно)</t>
  </si>
  <si>
    <t>5.</t>
  </si>
  <si>
    <t>на 2024 г</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</si>
  <si>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</si>
  <si>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2024</t>
  </si>
  <si>
    <t>3.4.0001.0000</t>
  </si>
  <si>
    <t>30440220980840000</t>
  </si>
  <si>
    <t>спец.одежда</t>
  </si>
  <si>
    <t>федер</t>
  </si>
  <si>
    <t>на 2022 год 
(на текущий финансовый год)</t>
  </si>
  <si>
    <t>на 2023 год 
(на первый год планового периода)</t>
  </si>
  <si>
    <t>на 2024 год 
(на второй год планового периода)</t>
  </si>
  <si>
    <t>Услуги по организации постановки спектаклей в т.ч. услуги дизайнеров 
( в рамках городских мероприятий)</t>
  </si>
  <si>
    <t>Отчисления  авторам произведений по лицензионным договорам РАО 
(КОСГУ 226)</t>
  </si>
  <si>
    <t>Вознаграждения за публичное исполнение фонограмм 
(ВОИС) (КОСГУ 226)</t>
  </si>
  <si>
    <t>Услуги по реализации билетов  при проведении мероприятий в 
МАУ "Сургутская филармония" 
(КОСГУ 226)</t>
  </si>
  <si>
    <t>Услуги  по обслуживанию программных продуктов "1С" 
(КОСГУ 226)</t>
  </si>
  <si>
    <t>Услуги по переходу с 1С:Бухгалтерия государственного учреждения с версии 1.0 на версию 2.0, настройка онлайн-кассы в 1С:Бухгалтерия государственного учреждения  версии 2.0 
(КОСГУ 226)</t>
  </si>
  <si>
    <t>Оказание услуг по организации и проведению семинаров (обучение, в режиме онлайн) 
(КОСГУ 226)</t>
  </si>
  <si>
    <t>Услуги по изготовлению и размещению рекламной продукции в лифтах многоквартирных домов 
(КОСГУ 226)</t>
  </si>
  <si>
    <t>Монтажные и пусконаладочные работы системы охранного телевидения (СОТ) (антитеррор) 
(КОСГУ 226)</t>
  </si>
  <si>
    <t>Услуги по настройке и подключению программно-аппаратного комплекса (онлайн-кассы) для формирования и передачи фискальных данных о выполненных кассовых операциях 
(3 кассовых аппарата) 
(КОСГУ 226)</t>
  </si>
  <si>
    <t>Услуги аниматоров-статистов 
(КОСГУ 226)</t>
  </si>
  <si>
    <t>Оказание дизайнерских услуг на разработке афиш, программок для спектаклей текущего репертуара 
(КОСГУ 226)</t>
  </si>
  <si>
    <t>Оказание услуг по сопросовждению спектаклей, театрализованных представлений, проводимых в АНО "Мультимедийный исторический парк 
"Моя история"
(КОСГУ 226)</t>
  </si>
  <si>
    <t>Оказание услуг (выполнение работ) по сопровождению сайта 
(КОСГУ 226)</t>
  </si>
  <si>
    <t>Оказание услуг по приобретению программного обеспечения (операционная система Windows)
(КОСГУ 226)</t>
  </si>
  <si>
    <t>Оказание услуг по пошиву одежды артистическому персоналу (в рамках текущей деятельности) 
(КОСГУ 226)</t>
  </si>
  <si>
    <t>Приобретение материальных запасов (канцтовары) 
КОСГУ 346</t>
  </si>
  <si>
    <t>Приобретение материальных запасов (спецодежда) 
КОСГУ 345</t>
  </si>
  <si>
    <t>Канцелярские товары
(КОСГУ 346)</t>
  </si>
  <si>
    <t>Комплектующие (для звукового и светового оборудования) 
(КОСГУ 346)</t>
  </si>
  <si>
    <t>Приобретение материальных запасов (прочие) 
(КОСГУ 346)</t>
  </si>
  <si>
    <t>Приобретениехозяйственных товаров (прочие) 
(КОСГУ 346)</t>
  </si>
  <si>
    <t>Услуги по техническому сопровождению при проведении мероприятий в 
МАУ "Сургутская филармония" 
(КОСГУ 226)</t>
  </si>
  <si>
    <t>Материальная помощь работникам при рождении ребенка (КОСГУ 213)</t>
  </si>
  <si>
    <t>Отраслевой код: 3.04.4.02.20980.700000 (КОСГУ 226)</t>
  </si>
  <si>
    <t xml:space="preserve">Источник финансового обеспечения: средства от приносящей доход деятельности </t>
  </si>
  <si>
    <t>Код субсидии: 3-4-001-0000</t>
  </si>
  <si>
    <t>(КВФО 2)</t>
  </si>
  <si>
    <t>(КВФО 4)</t>
  </si>
  <si>
    <t xml:space="preserve">итого </t>
  </si>
  <si>
    <t xml:space="preserve">№ 1. внесение остатков от 12.01.2022 </t>
  </si>
  <si>
    <t>№ 2. от 15.02.2022</t>
  </si>
  <si>
    <t xml:space="preserve">Приобретение основных средств 
(КОСГУ 310)  </t>
  </si>
  <si>
    <t>Приобретение мини-печи</t>
  </si>
  <si>
    <t>Приобретение головного микрофона Sennheiser ME 3</t>
  </si>
  <si>
    <t xml:space="preserve">Поставка стульев </t>
  </si>
  <si>
    <t>Приобретение видеомикшера Roland V - 1 HD</t>
  </si>
  <si>
    <t xml:space="preserve">Приобретение головных радиосистем для текущей деятельности, в т.ч. </t>
  </si>
  <si>
    <t>SHURE GLXD14RE/SM35 рэковая цифровая радиосистема GLXD advanced с головным микрофоном SM 35, 2.4 GHz</t>
  </si>
  <si>
    <t xml:space="preserve">508712 EW-D ME3 SET (R4-9) Радиосистема  головным микрофоном, 552-607.8 МГц, Sennheiser </t>
  </si>
  <si>
    <t>SENNHEISER EW-D ME3 SET (R1-6) - цифр. Радиосистема с поясным передаьтчиком и микр. С оголовьем ME 3</t>
  </si>
  <si>
    <t>SENNHEISER EW-D ME3 SET (Q1-6)  Радиосистема с поясным передаьтчиком и микр. С оголовьем ME 3</t>
  </si>
  <si>
    <t>6.1.</t>
  </si>
  <si>
    <t>6.2.</t>
  </si>
  <si>
    <t>6.3.</t>
  </si>
  <si>
    <t>6.4.</t>
  </si>
  <si>
    <t>Исполнитель:
К.А. Базарова
35-12-56</t>
  </si>
  <si>
    <t>КОСГУ 310 КВР 244</t>
  </si>
  <si>
    <t>Отраслевой код: 3.04.4.02.20980.710000 (КОСГУ 345; 346)</t>
  </si>
  <si>
    <t xml:space="preserve">Создание кукольного спектакля малой формы "Девочка, наступившая на хлеб"  </t>
  </si>
  <si>
    <t>Перчатки ЗУБР сантехнические двухслойные латексные, стойкие к кислотам и щелочам, размер XXL</t>
  </si>
  <si>
    <t xml:space="preserve">Ботинки женские высокие, иск. кожа черные, р. 36 </t>
  </si>
  <si>
    <t>Ботинки женские высокие, иск. кожа черные, р. 38</t>
  </si>
  <si>
    <t xml:space="preserve">Ботинки мужские высокие, иск. кожа черные, р. 43 </t>
  </si>
  <si>
    <t>Колготки Conte Episode 80</t>
  </si>
  <si>
    <t>пара</t>
  </si>
  <si>
    <t xml:space="preserve">создание кукольного интерактивного спектакля малой формы "Этикет для непосед. Правила поведения."  </t>
  </si>
  <si>
    <t xml:space="preserve">Колготки </t>
  </si>
  <si>
    <t>пар.</t>
  </si>
  <si>
    <t>Приобретение мягкого инвентаря на создание спектаклей 
(в рамках городских мероприятий) 
(КОСГУ 345)</t>
  </si>
  <si>
    <t>Приобретение материальных запасов на создание спектаклей 
(в рамках городских мероприятий) 
(КОСГУ 346)</t>
  </si>
  <si>
    <t>Труба 15*15*1,5    6 м профильная</t>
  </si>
  <si>
    <t>Труба 20*20*2    6м профильная</t>
  </si>
  <si>
    <t>Фанера 6*1525*1525мм сорт 4/4 1 пал. - 65л.</t>
  </si>
  <si>
    <t xml:space="preserve">Фанера 4*1525*1525мм </t>
  </si>
  <si>
    <t>Ручка-скоба РС - 120 - 1 Хром</t>
  </si>
  <si>
    <t>Заклепка 3,2*10 1/1000шт.</t>
  </si>
  <si>
    <t>Заклепка 3,2*10 1/50шт. 40625</t>
  </si>
  <si>
    <t>Саморезы ШСММ 4,2*19 1/10</t>
  </si>
  <si>
    <t>Саморезы ШУЖ 4,5*16 потай</t>
  </si>
  <si>
    <t>Саморезы ШСГД 3,5*41</t>
  </si>
  <si>
    <t>Саморезы ШСГД 4,2*75 (100 шт. - 500 гр.)</t>
  </si>
  <si>
    <t>Колесо пов., сер. Резина, платф. Крепл. SCg25 60*60мм (ф50*18)</t>
  </si>
  <si>
    <t xml:space="preserve">Колесная опора на платф.пов серая резина с торм. </t>
  </si>
  <si>
    <t>Опора колесная повор.на площ. 30 мм пласт (черный 1 шт)</t>
  </si>
  <si>
    <t>Петля карточная 30*40 цинк</t>
  </si>
  <si>
    <t>Брусок 20*45*3000 мм сухой строганный хвойных пород</t>
  </si>
  <si>
    <t>Гипс 40 кг</t>
  </si>
  <si>
    <t>Клей "Момент Кристалл" в шоу-боксе 30 мл/10</t>
  </si>
  <si>
    <t>Клей "Момент-1" в шоу-боксе 125 мл/6</t>
  </si>
  <si>
    <t>Клей "Момент столяр" 750 г.</t>
  </si>
  <si>
    <t xml:space="preserve">Клей ПВА-М универсальный Экстра 4 кг Л-С </t>
  </si>
  <si>
    <t>Шпатлевка по дереву Сосна 0,225 кг</t>
  </si>
  <si>
    <t>Грунт-эмаль 3в1 НЕОМИД быстросохнущая, черная 0,9 кг</t>
  </si>
  <si>
    <t>Краска в/д Интерьерная Лакра белый 1,3 кг</t>
  </si>
  <si>
    <t>Колер "PARADE" №207 Солнце 0,75 л.</t>
  </si>
  <si>
    <t>Колер "PARADE" №205 Коричневый 0,75 л.</t>
  </si>
  <si>
    <t>Колер "PARADE" №205 Охра 0,75 л.</t>
  </si>
  <si>
    <t>Колер "PARADE" №205 Темно-зеленый 0,75 л.</t>
  </si>
  <si>
    <t>Запасные скобы, 6 мм тип 53 уп 1000 шт.</t>
  </si>
  <si>
    <t>Бязь</t>
  </si>
  <si>
    <t xml:space="preserve">Нитки швейные универсальные </t>
  </si>
  <si>
    <t>Лен в ассортименте</t>
  </si>
  <si>
    <t xml:space="preserve">Ткань подкладочная </t>
  </si>
  <si>
    <t>Пуговицы</t>
  </si>
  <si>
    <t>Резинка вязанная 38 мм</t>
  </si>
  <si>
    <t>Резинка 1 см</t>
  </si>
  <si>
    <t>Ткань клеевая - нейлоновая</t>
  </si>
  <si>
    <t>Молния 18 см</t>
  </si>
  <si>
    <t>Кисть</t>
  </si>
  <si>
    <t xml:space="preserve">Диагональ черный </t>
  </si>
  <si>
    <t xml:space="preserve">Тесьма в ассортименте </t>
  </si>
  <si>
    <t>Ткань трикотаж в ассортименте</t>
  </si>
  <si>
    <t>Поролон Рукодельница 100*200</t>
  </si>
  <si>
    <t xml:space="preserve">ДСП-Л 2500*1830*16 ясень шимо светлый </t>
  </si>
  <si>
    <t>Труба профильная 40*20*1,2 мм (3 м)</t>
  </si>
  <si>
    <t>Заглушка для профильных труб 40*20 мм</t>
  </si>
  <si>
    <t>Программка формат А4, красочность 4+4, плотность 200</t>
  </si>
  <si>
    <t xml:space="preserve">Афиша формат А3, красочность 4+0, плотность 115 гр. </t>
  </si>
  <si>
    <t>упак.</t>
  </si>
  <si>
    <t>дес.</t>
  </si>
  <si>
    <t>кг.</t>
  </si>
  <si>
    <t>м</t>
  </si>
  <si>
    <t>боб</t>
  </si>
  <si>
    <t>пог.м</t>
  </si>
  <si>
    <t>Грунт акриловый Левкас 250 мл</t>
  </si>
  <si>
    <t>Доска магнитно-маркерная 60*90 см</t>
  </si>
  <si>
    <t>Краска акриловая худож. 100 мл зеленая светлая 717 3ХК</t>
  </si>
  <si>
    <t>Краска акриловая худож. 100 мл охра золотистая 205 3ХК</t>
  </si>
  <si>
    <t xml:space="preserve">Краска акриловая худож. 100 мл сажа газовая </t>
  </si>
  <si>
    <t>Краска акриловая худож. 100 мл сиена жженая 406 3ХК</t>
  </si>
  <si>
    <t xml:space="preserve">Краски акриловая худож. 100 мл умбра жженая </t>
  </si>
  <si>
    <t>Краска акриловая худож. 220 мл белила титановые Ладога</t>
  </si>
  <si>
    <t>Лак акриловый матовый 100 мл Сонет</t>
  </si>
  <si>
    <t xml:space="preserve">Мольберт худ. Полевой металлич. </t>
  </si>
  <si>
    <t>Магнит неодимовый прямоугольник 20*10*5мм</t>
  </si>
  <si>
    <t>Магнит неодимовый диск 14*3мм</t>
  </si>
  <si>
    <t>Ткань бязь Рукодельница цвет в ассортименте, ширина 1,5 м. 100 % хлопок Россия</t>
  </si>
  <si>
    <t>Ткань фетр Рукодельница, цвет в ассортименте, ширина 0,92 м. 100 % п/э.Китай.</t>
  </si>
  <si>
    <t>Кожа искусственная Рукодельница, цвет в ассортименте, ширина 1,4 м, 100% п/э Корея.</t>
  </si>
  <si>
    <t>Ткань клеевая Рукодельница, ширина 1,1 м, 100% п/э. Китай</t>
  </si>
  <si>
    <t>Молния трактор Рукодельница 70 см</t>
  </si>
  <si>
    <t>Ткань костюмная Рукодельница, цвет в ассортименте, ширина 1,5 м, 100% п/э. Китай</t>
  </si>
  <si>
    <t>Двунитка Рукодельница. Цвет в ассортименте, ширина 0,9 м, 100% хлопок. Россия</t>
  </si>
  <si>
    <t>Ткань тафта Рукодельница, цвет в ассортименте, ширина 1,5 м, 100% п/э. Китай</t>
  </si>
  <si>
    <t>Ткань трикотаж Рукодельница, цвет в ассортименте, ширина 1,5 м, состав 100% п/э. Китай</t>
  </si>
  <si>
    <t>Кнопки пришивные Рукодельница 2 см.</t>
  </si>
  <si>
    <t>Нить швейная Рукодельница</t>
  </si>
  <si>
    <t>Поролон Рукодельница 100*200, толщина 2 см, ST-20, (размер 1000*2000*20мм), ПэУ, Россия</t>
  </si>
  <si>
    <t>Ткань кристалон Рукодельница, цвет в ассортименте, ширина 1,5 м, 100% п/э. Китай</t>
  </si>
  <si>
    <t>Мех искусственный Рукодельница, цвет в ассортименте, ширина 1,5 м, 100% п/э. Беларусь</t>
  </si>
  <si>
    <t>Программка формат А5, красочность 4+4, плотность 115 гр.</t>
  </si>
  <si>
    <t>Наклейка брендированная 00*15 ("Этикет для непосед")</t>
  </si>
  <si>
    <t>1.1.1.</t>
  </si>
  <si>
    <t>1.1.2.</t>
  </si>
  <si>
    <t>1.1.3.</t>
  </si>
  <si>
    <t>1.1.4.</t>
  </si>
  <si>
    <t>1.1.5.</t>
  </si>
  <si>
    <t>1.1.6.</t>
  </si>
  <si>
    <t>1.1.7.</t>
  </si>
  <si>
    <t>1.2.1.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</si>
  <si>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</si>
  <si>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</si>
  <si>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</si>
  <si>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</si>
  <si>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</si>
  <si>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</si>
  <si>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</si>
  <si>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</si>
  <si>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</si>
  <si>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</si>
  <si>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</si>
  <si>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</si>
  <si>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</si>
  <si>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</si>
  <si>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</si>
  <si>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</si>
  <si>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</si>
  <si>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</si>
  <si>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</si>
  <si>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</si>
  <si>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</si>
  <si>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</si>
  <si>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</si>
  <si>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</si>
  <si>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</si>
  <si>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</si>
  <si>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</si>
  <si>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</si>
  <si>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</si>
  <si>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</si>
  <si>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</si>
  <si>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</si>
  <si>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</si>
  <si>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</si>
  <si>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</si>
  <si>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</si>
  <si>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</si>
  <si>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</si>
  <si>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</si>
  <si>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</si>
  <si>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</si>
  <si>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</si>
  <si>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</si>
  <si>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</si>
  <si>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</si>
  <si>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</si>
  <si>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</si>
  <si>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</si>
  <si>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2.2.</t>
  </si>
  <si>
    <t>2.2.1.</t>
  </si>
  <si>
    <t>2.2.2.</t>
  </si>
  <si>
    <t>2.2.3.</t>
  </si>
  <si>
    <t>Создание кукольного спектакля малой формы «Жил - был Леша» в рамках театрального проекта "XXI век детям"</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</si>
  <si>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</si>
  <si>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</si>
  <si>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</si>
  <si>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</si>
  <si>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</si>
  <si>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</si>
  <si>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</si>
  <si>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</si>
  <si>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</si>
  <si>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</si>
  <si>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</si>
  <si>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</si>
  <si>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</si>
  <si>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</si>
  <si>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</si>
  <si>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</si>
  <si>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</si>
  <si>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</si>
  <si>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</si>
  <si>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</si>
  <si>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</si>
  <si>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</si>
  <si>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</si>
  <si>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</si>
  <si>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</si>
  <si>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2.3.</t>
  </si>
  <si>
    <t xml:space="preserve">Создание кукольного интерактивного спектакля малой формы "Этикет для непосед. Правила поведения."  </t>
  </si>
  <si>
    <t>Туфли сценические универсальные цв. серый (р. 36, 37, 39, 41, 43) М037</t>
  </si>
  <si>
    <t>241, 297, 295</t>
  </si>
  <si>
    <t>Иные расходы 
(отчисления профсоюзам) 
(КОСГУ 297)</t>
  </si>
  <si>
    <t>Код субсидии: 00-000-0000</t>
  </si>
  <si>
    <t>Код субсидии: 3-0001-0000</t>
  </si>
  <si>
    <t>3,04.04.02.20980.100000</t>
  </si>
  <si>
    <t>3,04.04.02.20980.110000</t>
  </si>
  <si>
    <t>3,04.04.02.20980.130000</t>
  </si>
  <si>
    <t>Отраслевой код: 3.04.4.02.20980.1100000 (КОСГУ 225)</t>
  </si>
  <si>
    <t>Отраслевой код: 3.04.4.02.20980.110000 (КОСГУ 225)</t>
  </si>
  <si>
    <t>Огнезащитная обработка декораций к спектаклю 
"Жил был Леша" и 
"Уроки этикета"</t>
  </si>
  <si>
    <t>Техническое обслуживание и текущий ремонт промышленного прачечного оборудования (сушильный барабан Electrolux Т 4290) (ежемесячно, кроме января,июля, августа) постановление от 05.05.2016 №3321</t>
  </si>
  <si>
    <t>огнезащитная обработка декораций спектакля "Девочка, наступившя на хлеб"</t>
  </si>
  <si>
    <t>Отраслевой код: 3.04.4.02.20980.130000 (КОСГУ 225)</t>
  </si>
  <si>
    <t>Огнезащитная обработка декораций спектакля "Девочка, наступившя на хлеб"</t>
  </si>
  <si>
    <t>Огнезащитная обработка декораций к спектаклю 
"Жил был Леша" и  "Уроки этикета"</t>
  </si>
  <si>
    <t>Иные расходы 
(отчисления профсоюзам)
(КОСГУ 297)</t>
  </si>
  <si>
    <t>Иные расходы 
(отчисления профсоюзам) 
(КВР 853 КОСГУ 297)</t>
  </si>
  <si>
    <t>Другие экономические санкции (Возврат субсидии, в целях устранения выявленных нарушений КСП)
(КВР 853 КОСГУ 295)</t>
  </si>
  <si>
    <t>Безвозмездные перечисления (передачи) текущего характера сектора государственного управления (Возврат субсидии, в целях устранения выявленных нарушений КСП)
(КВР 853 КОСГУ 241)</t>
  </si>
  <si>
    <t>Транспортные услуги (такси) (работникам)</t>
  </si>
  <si>
    <t>Услуги по перевозке (грузоперевозки)</t>
  </si>
  <si>
    <t>Код субсидии: 35-14000-2301</t>
  </si>
  <si>
    <t xml:space="preserve">ИБП </t>
  </si>
  <si>
    <t>Монитор</t>
  </si>
  <si>
    <t>МФУ</t>
  </si>
  <si>
    <t>Системный блок</t>
  </si>
  <si>
    <t>Стулья</t>
  </si>
  <si>
    <t>КОСГУ 346 КВР 244</t>
  </si>
  <si>
    <t>Мышь и клавиатура (комплект)</t>
  </si>
  <si>
    <t>клининг</t>
  </si>
  <si>
    <t>огнезащ</t>
  </si>
  <si>
    <t>Отраслевой код: 3.04.4.02.20980.100000 (КОСГУ 345, 346)</t>
  </si>
  <si>
    <t>Отраслевой код: 3.04.4.02.20980.840000 (КОСГУ 345)</t>
  </si>
  <si>
    <t>Приобретение мягкого инвентаря (футболки, носки)</t>
  </si>
  <si>
    <t>Футболки желтые (XS - 2 шт., S - 1 шт., L - 1 шт., XXL - 1 шт)</t>
  </si>
  <si>
    <t>Футболки зелегые (XS - 1 шт., М - 1 шт., XL - 1 шт.)</t>
  </si>
  <si>
    <t>Футболки синие (S - 1 шт., М - 1 шт., XL - 1 шт)</t>
  </si>
  <si>
    <t>Футболки красные (М - 2 шт., L - 1 шт)</t>
  </si>
  <si>
    <t>3.04.4.02.20980.100000</t>
  </si>
  <si>
    <t>3.04.4.02.85160.000000</t>
  </si>
  <si>
    <t>3.04.4.02.20980.840000</t>
  </si>
  <si>
    <t>3.04.4.02.20980.710000</t>
  </si>
  <si>
    <t>Код субсидии: 3-4-0001-0000</t>
  </si>
  <si>
    <t>1.3.</t>
  </si>
  <si>
    <t>1.3.1.</t>
  </si>
  <si>
    <t xml:space="preserve">Создание музыкального кукольного спектакля малой формы «Лев на каникулах» </t>
  </si>
  <si>
    <t>Шляпа ИМП</t>
  </si>
  <si>
    <t>Приобретение обуви</t>
  </si>
  <si>
    <t>1.3.2.</t>
  </si>
  <si>
    <t xml:space="preserve">пара </t>
  </si>
  <si>
    <t>2.3.1.</t>
  </si>
  <si>
    <t>Приобретение расходных материалов для создания спектакля</t>
  </si>
  <si>
    <t>2.4.</t>
  </si>
  <si>
    <t xml:space="preserve">Создание музыкального спектакля малой формы "Лев на каникулах"  </t>
  </si>
  <si>
    <t>2.5.</t>
  </si>
  <si>
    <t>2.5.1.</t>
  </si>
  <si>
    <t>2.4.1.</t>
  </si>
  <si>
    <t>3.04.4.02.L5170.000000</t>
  </si>
  <si>
    <t>Приобретение материальных запасов (в т.ч. мягкий инвентарь) на создание спектаклей 
(в рамках городских мероприятий)</t>
  </si>
  <si>
    <t>Приобретение материальных запасов на создание спектакля "Сон в летнюю ночь"</t>
  </si>
  <si>
    <t>Код субсидии: 3-0001-7204</t>
  </si>
  <si>
    <t>Отраслевой код: 3.04.4.02.L5170.000000</t>
  </si>
  <si>
    <t>Отраслевой код: 3.04.4.02.20980.100000 (КОСГУ 342, 345, 346)</t>
  </si>
  <si>
    <t>Прочие выплаты (суточые) 
(КВР 112 КОСГУ 212)</t>
  </si>
  <si>
    <t>Прочие работы и, услуги (проезд, проживание в коммандировке) 
(КВР 112 КОСГУ 226)</t>
  </si>
  <si>
    <t>Возмещение за проживание артисту (кукловоду) театра кукол, I категории Щербаковой А.Ю., находящемуся в командировке в городе Ханты-Мансийске</t>
  </si>
  <si>
    <t>Возмещение за проживание артисту (кукловоду) театра кукол, высшей категории Рысину А.С., находящемуся в командировке в городе Ханты-Мансийске</t>
  </si>
  <si>
    <t>Оплата проезда и проживания художественному руководителю, находящемуся в командировке в г. Иваново</t>
  </si>
  <si>
    <t>оплата проживания</t>
  </si>
  <si>
    <t xml:space="preserve">оплата проезда   </t>
  </si>
  <si>
    <t>3.1.</t>
  </si>
  <si>
    <t>3.2.</t>
  </si>
  <si>
    <t>Отраслевой код: 3.04.4.02.20980.710000 (КОСГУ 226)</t>
  </si>
  <si>
    <t>Отраслевой код: 3.04.4.02.20980.100000 (КОСГУ 224,226)</t>
  </si>
  <si>
    <t>Программное ТО УСТАНОВКА ПО (чистка временных данных, проверка на вирусы, обновление ПО) 
(моноблок-2 шт.), тех. обслуживание (МФУ-2 шт.) (очистка от пыли и тонера, очистка сканера, очистка роликов, тестирование копированием на разных форматах)</t>
  </si>
  <si>
    <t>Услуги по системному администрированию, администрированию баз данных и систем защиты информации (АЦК)</t>
  </si>
  <si>
    <t>Код субсидии: 00-0000-0000</t>
  </si>
  <si>
    <t>Отраслевой код: 3.04.4.02.20980.140000 (КОСГУ 226)</t>
  </si>
  <si>
    <t>Итого по 224:</t>
  </si>
  <si>
    <t>Итого по 226:</t>
  </si>
  <si>
    <t>3.04.4.02.20980.140000</t>
  </si>
  <si>
    <t>3.04.4.02.20980.810000</t>
  </si>
  <si>
    <t>Отраслевой код: 3.04.4.02.20980.810000 (КОСГУ 226)</t>
  </si>
  <si>
    <t>Услуги  по программе ДПО "Пожарная безопасность в объеме ПТМ" 
(КОСГУ 226)</t>
  </si>
  <si>
    <t>Услуги  по программе ДПО "Охрана труда для руководителей и специалистов" 
(КОСГУ 226)</t>
  </si>
  <si>
    <t>Flowerhua1989!</t>
  </si>
  <si>
    <t>Поступления от иной, приносящей доход деятельности</t>
  </si>
  <si>
    <t>специальные расходы</t>
  </si>
  <si>
    <t xml:space="preserve">План финансово-хозяйственной деятельности на 2023 г. </t>
  </si>
  <si>
    <t>и плановый период 2024 и 2025 годов</t>
  </si>
  <si>
    <t>на 2023 г. текущий финансовый год</t>
  </si>
  <si>
    <t>на 2024 г. первый год планового периода</t>
  </si>
  <si>
    <t>на 2025 г. второй год планового периода</t>
  </si>
  <si>
    <t>на 2025 г</t>
  </si>
  <si>
    <t>2025</t>
  </si>
  <si>
    <t>от «___»____________2023 г.</t>
  </si>
  <si>
    <t>"_____ " _________________ 2023 г.</t>
  </si>
  <si>
    <t>23</t>
  </si>
  <si>
    <t>втом числе:
в соответствии с Федеральным законом № 44-ФЗ</t>
  </si>
  <si>
    <t>Директор департамента культуры и молодёжной политики Администрации города</t>
  </si>
  <si>
    <t>А.А. Акулов</t>
  </si>
  <si>
    <t>ведущий экономист</t>
  </si>
  <si>
    <t>В.И. Низамутдинова</t>
  </si>
  <si>
    <t>Директор</t>
  </si>
  <si>
    <t>Е.А. Блинова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</si>
</sst>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 numFmtId="177" formatCode="#,##0\ _₽"/>
    <numFmt numFmtId="178" formatCode="0.0%"/>
    <numFmt numFmtId="179" formatCode="#,##0.0\ _₽"/>
  </numFmts>
  <fonts count="98">
    <font>
      <sz val="11"/>
      <color theme="1"/>
      <name val="Calibri"/>
      <scheme val="minor"/>
    </font>
    <font>
      <sz val="11"/>
      <color theme="1"/>
      <name val="Calibri"/>
      <family val="2"/>
      <charset val="204"/>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8"/>
      <color indexed="64"/>
      <name val="Times New Roman"/>
      <family val="1"/>
      <charset val="204"/>
    </font>
    <font>
      <b/>
      <sz val="14"/>
      <color indexed="64"/>
      <name val="Times New Roman"/>
      <family val="1"/>
      <charset val="204"/>
    </font>
    <font>
      <sz val="11"/>
      <color indexed="64"/>
      <name val="Times New Roman"/>
      <family val="1"/>
      <charset val="204"/>
    </font>
    <font>
      <b/>
      <sz val="11"/>
      <color theme="1"/>
      <name val="Times New Roman"/>
      <family val="1"/>
      <charset val="204"/>
    </font>
    <font>
      <sz val="14"/>
      <color theme="1"/>
      <name val="Times New Roman"/>
      <family val="1"/>
      <charset val="204"/>
    </font>
    <font>
      <sz val="20"/>
      <color theme="1"/>
      <name val="Times New Roman"/>
      <family val="1"/>
      <charset val="204"/>
    </font>
    <font>
      <b/>
      <sz val="72"/>
      <color indexed="2"/>
      <name val="Calibri"/>
      <family val="2"/>
      <charset val="204"/>
      <scheme val="minor"/>
    </font>
    <font>
      <b/>
      <sz val="48"/>
      <color indexed="2"/>
      <name val="Calibri"/>
      <family val="2"/>
      <charset val="204"/>
      <scheme val="minor"/>
    </font>
    <font>
      <sz val="10"/>
      <color indexed="64"/>
      <name val="Calibri"/>
      <family val="2"/>
      <charset val="204"/>
      <scheme val="minor"/>
    </font>
    <font>
      <sz val="13.5"/>
      <color theme="1"/>
      <name val="Times New Roman"/>
      <family val="1"/>
      <charset val="204"/>
    </font>
    <font>
      <b/>
      <sz val="12"/>
      <color theme="1"/>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
      <sz val="10"/>
      <color theme="0"/>
      <name val="Times New Roman"/>
      <family val="1"/>
      <charset val="204"/>
    </font>
    <font>
      <sz val="8"/>
      <color theme="1"/>
      <name val="Times New Roman"/>
      <family val="1"/>
      <charset val="204"/>
    </font>
    <font>
      <sz val="10"/>
      <color theme="1"/>
      <name val="Calibri"/>
      <family val="2"/>
      <charset val="204"/>
      <scheme val="minor"/>
    </font>
    <font>
      <sz val="11"/>
      <color theme="1"/>
      <name val="Calibri"/>
      <family val="2"/>
      <charset val="204"/>
      <scheme val="minor"/>
    </font>
    <font>
      <sz val="11"/>
      <color rgb="FFC00000"/>
      <name val="Times New Roman"/>
      <family val="1"/>
      <charset val="204"/>
    </font>
    <font>
      <sz val="9"/>
      <color indexed="81"/>
      <name val="Tahoma"/>
      <family val="2"/>
      <charset val="204"/>
    </font>
    <font>
      <b/>
      <sz val="9"/>
      <color indexed="81"/>
      <name val="Tahoma"/>
      <family val="2"/>
      <charset val="204"/>
    </font>
    <font>
      <sz val="11"/>
      <color rgb="FF000099"/>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8"/>
      <color rgb="FFFF0000"/>
      <name val="Calibri"/>
      <family val="2"/>
      <charset val="204"/>
      <scheme val="minor"/>
    </font>
    <font>
      <i/>
      <sz val="11"/>
      <color rgb="FFC00000"/>
      <name val="Times New Roman"/>
      <family val="1"/>
      <charset val="204"/>
    </font>
    <font>
      <sz val="12"/>
      <color theme="0"/>
      <name val="Times New Roman"/>
      <family val="1"/>
      <charset val="204"/>
    </font>
    <font>
      <sz val="11"/>
      <color theme="0"/>
      <name val="Times New Roman"/>
      <family val="1"/>
      <charset val="204"/>
    </font>
    <font>
      <i/>
      <sz val="12"/>
      <color theme="1"/>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1"/>
      <color theme="6" tint="-0.499984740745262"/>
      <name val="Times New Roman"/>
      <family val="1"/>
      <charset val="204"/>
    </font>
    <font>
      <sz val="11"/>
      <color rgb="FF0000CC"/>
      <name val="Times New Roman"/>
      <family val="1"/>
      <charset val="204"/>
    </font>
    <font>
      <b/>
      <sz val="12"/>
      <color rgb="FF009900"/>
      <name val="Times New Roman"/>
      <family val="1"/>
      <charset val="204"/>
    </font>
    <font>
      <sz val="11"/>
      <color rgb="FF009900"/>
      <name val="Calibri"/>
      <family val="2"/>
      <charset val="204"/>
      <scheme val="minor"/>
    </font>
    <font>
      <sz val="12"/>
      <color rgb="FF009900"/>
      <name val="Times New Roman"/>
      <family val="1"/>
      <charset val="204"/>
    </font>
    <font>
      <sz val="11"/>
      <color rgb="FF009900"/>
      <name val="Times New Roman"/>
      <family val="1"/>
      <charset val="204"/>
    </font>
    <font>
      <sz val="10"/>
      <color rgb="FF009900"/>
      <name val="Times New Roman"/>
      <family val="1"/>
      <charset val="204"/>
    </font>
    <font>
      <sz val="11"/>
      <color rgb="FF0070C0"/>
      <name val="Times New Roman"/>
      <family val="1"/>
      <charset val="204"/>
    </font>
    <font>
      <sz val="11"/>
      <color rgb="FF00B050"/>
      <name val="Times New Roman"/>
      <family val="1"/>
      <charset val="204"/>
    </font>
    <font>
      <sz val="10"/>
      <color rgb="FF00B050"/>
      <name val="Times New Roman"/>
      <family val="1"/>
      <charset val="204"/>
    </font>
    <font>
      <sz val="8"/>
      <color rgb="FF00B050"/>
      <name val="Times New Roman"/>
      <family val="1"/>
      <charset val="204"/>
    </font>
    <font>
      <b/>
      <sz val="10"/>
      <color rgb="FF00B050"/>
      <name val="Times New Roman"/>
      <family val="1"/>
      <charset val="204"/>
    </font>
    <font>
      <sz val="10"/>
      <color rgb="FF00B050"/>
      <name val="Calibri"/>
      <family val="2"/>
      <charset val="204"/>
      <scheme val="minor"/>
    </font>
    <font>
      <sz val="11"/>
      <color rgb="FFFF0000"/>
      <name val="Times New Roman"/>
      <family val="1"/>
      <charset val="204"/>
    </font>
    <font>
      <b/>
      <sz val="10"/>
      <name val="Times New Roman"/>
      <family val="1"/>
      <charset val="204"/>
    </font>
    <font>
      <sz val="12"/>
      <color rgb="FF0000CC"/>
      <name val="Times New Roman"/>
      <family val="1"/>
      <charset val="204"/>
    </font>
    <font>
      <sz val="12"/>
      <name val="Times New Roman"/>
      <family val="1"/>
      <charset val="204"/>
    </font>
    <font>
      <sz val="12"/>
      <color indexed="64"/>
      <name val="Arial Cyr"/>
    </font>
    <font>
      <sz val="14"/>
      <color indexed="64"/>
      <name val="Times New Roman"/>
      <family val="1"/>
      <charset val="204"/>
    </font>
    <font>
      <sz val="14"/>
      <color rgb="FFC00000"/>
      <name val="Times New Roman"/>
      <family val="1"/>
      <charset val="204"/>
    </font>
    <font>
      <sz val="11"/>
      <color rgb="FF0000CC"/>
      <name val="Calibri"/>
      <family val="2"/>
      <charset val="204"/>
      <scheme val="minor"/>
    </font>
    <font>
      <sz val="11"/>
      <color rgb="FF0000CC"/>
      <name val="Calibri"/>
      <family val="2"/>
      <charset val="204"/>
      <scheme val="minor"/>
    </font>
    <font>
      <sz val="10"/>
      <color rgb="FF0000CC"/>
      <name val="Times New Roman"/>
      <family val="1"/>
      <charset val="204"/>
    </font>
    <font>
      <b/>
      <sz val="10"/>
      <color rgb="FF0000CC"/>
      <name val="Times New Roman"/>
      <family val="1"/>
      <charset val="204"/>
    </font>
    <font>
      <i/>
      <sz val="11"/>
      <color rgb="FF7030A0"/>
      <name val="Times New Roman"/>
      <family val="1"/>
      <charset val="204"/>
    </font>
    <font>
      <b/>
      <i/>
      <sz val="11"/>
      <color rgb="FF7030A0"/>
      <name val="Times New Roman"/>
      <family val="1"/>
      <charset val="204"/>
    </font>
    <font>
      <sz val="11"/>
      <color rgb="FF7030A0"/>
      <name val="Times New Roman"/>
      <family val="1"/>
      <charset val="204"/>
    </font>
    <font>
      <sz val="8"/>
      <name val="Times New Roman"/>
      <family val="1"/>
      <charset val="204"/>
    </font>
    <font>
      <sz val="11"/>
      <name val="Calibri"/>
      <family val="2"/>
      <charset val="204"/>
      <scheme val="minor"/>
    </font>
    <font>
      <sz val="14"/>
      <name val="Times New Roman"/>
      <family val="1"/>
      <charset val="204"/>
    </font>
    <font>
      <sz val="12"/>
      <name val="Calibri"/>
      <family val="2"/>
      <charset val="204"/>
      <scheme val="minor"/>
    </font>
    <font>
      <i/>
      <sz val="10"/>
      <name val="Times New Roman"/>
      <family val="1"/>
      <charset val="204"/>
    </font>
    <font>
      <b/>
      <sz val="11"/>
      <name val="Times New Roman"/>
      <family val="1"/>
      <charset val="204"/>
    </font>
    <font>
      <i/>
      <sz val="10"/>
      <color rgb="FF00B050"/>
      <name val="Times New Roman"/>
      <family val="1"/>
      <charset val="204"/>
    </font>
    <font>
      <i/>
      <sz val="11"/>
      <color rgb="FF00B050"/>
      <name val="Times New Roman"/>
      <family val="1"/>
      <charset val="204"/>
    </font>
    <font>
      <b/>
      <sz val="11"/>
      <color rgb="FF00B050"/>
      <name val="Times New Roman"/>
      <family val="1"/>
      <charset val="204"/>
    </font>
    <font>
      <b/>
      <sz val="16"/>
      <color theme="1"/>
      <name val="Times New Roman"/>
      <family val="1"/>
      <charset val="204"/>
    </font>
    <font>
      <sz val="10"/>
      <name val="Calibri"/>
      <family val="2"/>
      <charset val="204"/>
      <scheme val="minor"/>
    </font>
    <font>
      <u/>
      <sz val="10"/>
      <name val="Times New Roman"/>
      <family val="1"/>
      <charset val="204"/>
    </font>
    <font>
      <u/>
      <sz val="10"/>
      <name val="Calibri"/>
      <family val="2"/>
      <charset val="204"/>
      <scheme val="minor"/>
    </font>
    <font>
      <b/>
      <sz val="11"/>
      <color rgb="FF0000CC"/>
      <name val="Times New Roman"/>
      <family val="1"/>
      <charset val="204"/>
    </font>
    <font>
      <i/>
      <sz val="10"/>
      <color theme="1"/>
      <name val="Times New Roman"/>
      <family val="1"/>
      <charset val="204"/>
    </font>
    <font>
      <u/>
      <sz val="12"/>
      <name val="Times New Roman"/>
      <family val="1"/>
      <charset val="204"/>
    </font>
    <font>
      <sz val="16"/>
      <name val="Times New Roman"/>
      <family val="1"/>
      <charset val="204"/>
    </font>
  </fonts>
  <fills count="19">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indexed="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5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0" fontId="2" fillId="0" borderId="0"/>
    <xf numFmtId="0" fontId="2" fillId="0" borderId="0"/>
    <xf numFmtId="164" fontId="3" fillId="0" borderId="0" applyFont="0" applyFill="0" applyBorder="0"/>
    <xf numFmtId="165" fontId="3" fillId="0" borderId="0" applyFont="0" applyFill="0" applyBorder="0"/>
    <xf numFmtId="166" fontId="3" fillId="0" borderId="0" applyFont="0" applyFill="0" applyBorder="0"/>
    <xf numFmtId="167" fontId="3" fillId="0" borderId="0" applyFont="0" applyFill="0" applyBorder="0"/>
    <xf numFmtId="168" fontId="3" fillId="0" borderId="0" applyFont="0" applyFill="0" applyBorder="0"/>
    <xf numFmtId="169" fontId="3" fillId="0" borderId="0" applyFont="0" applyFill="0" applyBorder="0"/>
    <xf numFmtId="170" fontId="3" fillId="0" borderId="0" applyFont="0" applyFill="0" applyBorder="0"/>
    <xf numFmtId="0" fontId="3" fillId="0" borderId="0"/>
    <xf numFmtId="0" fontId="4" fillId="0" borderId="0" applyNumberFormat="0" applyFill="0" applyBorder="0"/>
    <xf numFmtId="0" fontId="3"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 fillId="0" borderId="0"/>
    <xf numFmtId="0" fontId="5" fillId="0" borderId="0"/>
    <xf numFmtId="0" fontId="3" fillId="0" borderId="0"/>
    <xf numFmtId="0" fontId="38" fillId="0" borderId="0"/>
    <xf numFmtId="0" fontId="6" fillId="0" borderId="0"/>
    <xf numFmtId="0" fontId="5" fillId="2" borderId="1" applyNumberFormat="0" applyFont="0"/>
    <xf numFmtId="0" fontId="2" fillId="0" borderId="0"/>
    <xf numFmtId="171" fontId="7" fillId="0" borderId="0" applyFont="0" applyFill="0" applyBorder="0"/>
    <xf numFmtId="172" fontId="7" fillId="0" borderId="0" applyFont="0" applyFill="0" applyBorder="0"/>
    <xf numFmtId="168" fontId="3" fillId="0" borderId="0" applyFont="0" applyFill="0" applyBorder="0"/>
    <xf numFmtId="173" fontId="3" fillId="0" borderId="0" applyFont="0" applyFill="0" applyBorder="0"/>
    <xf numFmtId="43" fontId="3" fillId="0" borderId="0" applyFont="0" applyFill="0" applyBorder="0"/>
    <xf numFmtId="173" fontId="3" fillId="0" borderId="0" applyFont="0" applyFill="0" applyBorder="0"/>
    <xf numFmtId="173" fontId="3" fillId="0" borderId="0" applyFont="0" applyFill="0" applyBorder="0"/>
    <xf numFmtId="173" fontId="3" fillId="0" borderId="0" applyFont="0" applyFill="0" applyBorder="0"/>
    <xf numFmtId="173" fontId="38" fillId="0" borderId="0" applyFont="0" applyFill="0" applyBorder="0"/>
    <xf numFmtId="0" fontId="5" fillId="0" borderId="0"/>
  </cellStyleXfs>
  <cellXfs count="1150">
    <xf numFmtId="0" fontId="0" fillId="0" borderId="0" xfId="0"/>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xf numFmtId="0" fontId="9" fillId="0" borderId="0" xfId="0" applyFont="1" applyAlignment="1">
      <alignment horizontal="center"/>
    </xf>
    <xf numFmtId="174" fontId="9" fillId="0" borderId="0" xfId="0" applyNumberFormat="1" applyFont="1"/>
    <xf numFmtId="0" fontId="10" fillId="0" borderId="0" xfId="0" applyFont="1" applyAlignment="1">
      <alignment horizontal="left" wrapText="1"/>
    </xf>
    <xf numFmtId="0" fontId="10" fillId="0" borderId="0" xfId="0" applyFont="1"/>
    <xf numFmtId="174" fontId="10" fillId="0" borderId="0" xfId="0" applyNumberFormat="1" applyFont="1"/>
    <xf numFmtId="0" fontId="10" fillId="0" borderId="0" xfId="0" applyFont="1" applyAlignment="1">
      <alignment wrapText="1"/>
    </xf>
    <xf numFmtId="0" fontId="10" fillId="0" borderId="2"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justify" vertical="center" wrapText="1"/>
    </xf>
    <xf numFmtId="0" fontId="10" fillId="0" borderId="0" xfId="0" applyFont="1" applyAlignment="1">
      <alignment horizontal="center"/>
    </xf>
    <xf numFmtId="174" fontId="10" fillId="0" borderId="0" xfId="0" applyNumberFormat="1" applyFont="1" applyAlignment="1">
      <alignment horizontal="center"/>
    </xf>
    <xf numFmtId="0" fontId="9" fillId="0" borderId="0" xfId="0" applyFont="1" applyAlignment="1">
      <alignment horizontal="left"/>
    </xf>
    <xf numFmtId="174" fontId="9" fillId="0" borderId="0" xfId="0" applyNumberFormat="1" applyFont="1" applyAlignment="1">
      <alignment horizontal="left"/>
    </xf>
    <xf numFmtId="0" fontId="10" fillId="0" borderId="2" xfId="0" applyFont="1" applyBorder="1" applyAlignment="1">
      <alignment horizontal="left"/>
    </xf>
    <xf numFmtId="0" fontId="9" fillId="0" borderId="2" xfId="0" applyFont="1" applyBorder="1" applyAlignment="1">
      <alignment horizontal="center"/>
    </xf>
    <xf numFmtId="0" fontId="9" fillId="0" borderId="2" xfId="0" applyFont="1" applyBorder="1" applyAlignment="1">
      <alignment horizontal="left"/>
    </xf>
    <xf numFmtId="174" fontId="9" fillId="0" borderId="2" xfId="0" applyNumberFormat="1" applyFont="1" applyBorder="1" applyAlignment="1">
      <alignment horizontal="left"/>
    </xf>
    <xf numFmtId="0" fontId="8" fillId="0" borderId="0" xfId="0" applyFont="1" applyAlignment="1">
      <alignment horizontal="left"/>
    </xf>
    <xf numFmtId="174" fontId="8" fillId="0" borderId="0" xfId="0" applyNumberFormat="1"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12" fillId="3" borderId="3" xfId="0" applyFont="1" applyFill="1" applyBorder="1" applyAlignment="1">
      <alignment horizontal="center" vertical="center" wrapText="1"/>
    </xf>
    <xf numFmtId="174" fontId="11" fillId="0" borderId="3" xfId="0" applyNumberFormat="1" applyFont="1" applyBorder="1" applyAlignment="1">
      <alignment horizontal="center" vertical="center" wrapText="1"/>
    </xf>
    <xf numFmtId="0" fontId="6" fillId="0" borderId="0" xfId="26" applyFont="1"/>
    <xf numFmtId="0" fontId="11" fillId="0" borderId="0" xfId="0" applyFont="1"/>
    <xf numFmtId="0" fontId="11" fillId="0" borderId="0" xfId="0" applyFont="1" applyAlignment="1">
      <alignment horizontal="center"/>
    </xf>
    <xf numFmtId="174" fontId="11" fillId="0" borderId="0" xfId="0" applyNumberFormat="1" applyFont="1"/>
    <xf numFmtId="1" fontId="11" fillId="0" borderId="3" xfId="0" applyNumberFormat="1" applyFont="1" applyBorder="1" applyAlignment="1">
      <alignment horizontal="center" vertical="center" wrapText="1"/>
    </xf>
    <xf numFmtId="174"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0" fontId="11" fillId="4" borderId="0" xfId="0" applyFont="1" applyFill="1"/>
    <xf numFmtId="4" fontId="12" fillId="4" borderId="3" xfId="0" applyNumberFormat="1" applyFont="1" applyFill="1" applyBorder="1" applyAlignment="1">
      <alignment horizontal="center" vertical="center" wrapText="1"/>
    </xf>
    <xf numFmtId="0" fontId="11" fillId="0" borderId="3" xfId="0" applyFont="1" applyBorder="1" applyAlignment="1">
      <alignment horizontal="center"/>
    </xf>
    <xf numFmtId="4" fontId="11" fillId="0" borderId="0" xfId="0" applyNumberFormat="1" applyFont="1"/>
    <xf numFmtId="4" fontId="12" fillId="0" borderId="3" xfId="0" applyNumberFormat="1" applyFont="1" applyBorder="1" applyAlignment="1">
      <alignment horizontal="center" vertical="center" wrapText="1"/>
    </xf>
    <xf numFmtId="0" fontId="11" fillId="0" borderId="0" xfId="0" applyFont="1" applyAlignment="1">
      <alignment horizontal="left"/>
    </xf>
    <xf numFmtId="174" fontId="11" fillId="0" borderId="0" xfId="0" applyNumberFormat="1" applyFont="1" applyAlignment="1">
      <alignment horizontal="left"/>
    </xf>
    <xf numFmtId="0" fontId="20" fillId="0" borderId="0" xfId="11" applyFont="1" applyAlignment="1">
      <alignment horizontal="left" vertical="center"/>
    </xf>
    <xf numFmtId="0" fontId="11" fillId="0" borderId="0" xfId="0" applyFont="1" applyAlignment="1">
      <alignment horizontal="left" vertical="center"/>
    </xf>
    <xf numFmtId="0" fontId="21" fillId="0" borderId="19" xfId="26" applyFont="1" applyBorder="1" applyAlignment="1">
      <alignment horizontal="left"/>
    </xf>
    <xf numFmtId="0" fontId="21" fillId="0" borderId="20" xfId="26" applyFont="1" applyBorder="1" applyAlignment="1">
      <alignment horizontal="left"/>
    </xf>
    <xf numFmtId="0" fontId="21" fillId="0" borderId="21" xfId="26" applyFont="1" applyBorder="1" applyAlignment="1">
      <alignment horizontal="left"/>
    </xf>
    <xf numFmtId="0" fontId="0" fillId="6" borderId="0" xfId="0" applyFill="1"/>
    <xf numFmtId="0" fontId="27" fillId="5" borderId="26" xfId="0" applyFont="1" applyFill="1" applyBorder="1" applyAlignment="1">
      <alignment horizontal="center" vertical="center" wrapText="1"/>
    </xf>
    <xf numFmtId="0" fontId="28" fillId="5" borderId="26" xfId="0" applyFont="1" applyFill="1" applyBorder="1" applyAlignment="1">
      <alignment horizontal="center" vertical="center" wrapText="1"/>
    </xf>
    <xf numFmtId="49" fontId="21" fillId="0" borderId="32" xfId="26" applyNumberFormat="1" applyFont="1" applyBorder="1" applyAlignment="1">
      <alignment horizontal="center" vertical="top"/>
    </xf>
    <xf numFmtId="0" fontId="29" fillId="0" borderId="0" xfId="26" applyFont="1"/>
    <xf numFmtId="0" fontId="0" fillId="0" borderId="0" xfId="0" applyAlignment="1">
      <alignment horizontal="left"/>
    </xf>
    <xf numFmtId="0" fontId="30" fillId="0" borderId="0" xfId="0" applyFont="1" applyAlignment="1">
      <alignment vertical="center"/>
    </xf>
    <xf numFmtId="0" fontId="31" fillId="0" borderId="0" xfId="0" applyFont="1" applyAlignment="1">
      <alignment horizontal="left" vertical="center"/>
    </xf>
    <xf numFmtId="0" fontId="8" fillId="0" borderId="9" xfId="0" applyFont="1" applyBorder="1" applyAlignment="1">
      <alignment horizontal="left"/>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0" xfId="0" applyFont="1" applyAlignment="1">
      <alignment horizontal="left" vertical="center" wrapText="1"/>
    </xf>
    <xf numFmtId="0" fontId="30" fillId="0" borderId="0" xfId="0" applyFont="1" applyAlignment="1">
      <alignment horizontal="left" vertical="center"/>
    </xf>
    <xf numFmtId="0" fontId="8" fillId="0" borderId="0" xfId="0" applyFont="1" applyAlignment="1">
      <alignment horizontal="left" vertical="center"/>
    </xf>
    <xf numFmtId="49" fontId="17" fillId="0" borderId="0" xfId="0" applyNumberFormat="1" applyFont="1" applyAlignment="1">
      <alignment horizontal="center" vertical="center"/>
    </xf>
    <xf numFmtId="0" fontId="33" fillId="0" borderId="0" xfId="0" applyFont="1" applyAlignment="1">
      <alignment horizontal="justify" vertical="top" wrapText="1"/>
    </xf>
    <xf numFmtId="0" fontId="33" fillId="0" borderId="0" xfId="0" applyFont="1" applyAlignment="1">
      <alignment horizontal="center" vertical="top" wrapText="1"/>
    </xf>
    <xf numFmtId="1" fontId="33" fillId="8" borderId="0" xfId="0" applyNumberFormat="1" applyFont="1" applyFill="1" applyAlignment="1">
      <alignment horizontal="center" vertical="top" wrapText="1"/>
    </xf>
    <xf numFmtId="4" fontId="33" fillId="8" borderId="0" xfId="0" applyNumberFormat="1" applyFont="1" applyFill="1" applyAlignment="1">
      <alignment horizontal="center" vertical="top" wrapText="1"/>
    </xf>
    <xf numFmtId="0" fontId="32" fillId="0" borderId="3" xfId="0" applyFont="1" applyBorder="1" applyAlignment="1">
      <alignment vertical="top" wrapText="1"/>
    </xf>
    <xf numFmtId="0" fontId="34" fillId="0" borderId="3" xfId="0" applyFont="1" applyBorder="1" applyAlignment="1">
      <alignment horizontal="justify"/>
    </xf>
    <xf numFmtId="0" fontId="34" fillId="0" borderId="3" xfId="0" applyFont="1" applyBorder="1"/>
    <xf numFmtId="0" fontId="34" fillId="0" borderId="0" xfId="0" applyFont="1" applyAlignment="1">
      <alignment horizontal="justify"/>
    </xf>
    <xf numFmtId="0" fontId="34" fillId="0" borderId="0" xfId="0" applyFont="1" applyAlignment="1">
      <alignment wrapText="1"/>
    </xf>
    <xf numFmtId="0" fontId="34" fillId="0" borderId="0" xfId="0" applyFont="1"/>
    <xf numFmtId="0" fontId="32" fillId="0" borderId="0" xfId="0" applyFont="1" applyAlignment="1">
      <alignment horizontal="left" vertical="center"/>
    </xf>
    <xf numFmtId="0" fontId="32" fillId="0" borderId="3" xfId="0" applyFont="1" applyBorder="1" applyAlignment="1">
      <alignment horizontal="left" vertical="center" wrapText="1"/>
    </xf>
    <xf numFmtId="175" fontId="32" fillId="0" borderId="3" xfId="0" applyNumberFormat="1" applyFont="1" applyBorder="1" applyAlignment="1">
      <alignment horizontal="center" vertical="center" wrapText="1"/>
    </xf>
    <xf numFmtId="0" fontId="32" fillId="0" borderId="0" xfId="0" applyFont="1"/>
    <xf numFmtId="0" fontId="32" fillId="0" borderId="0" xfId="0" applyFont="1" applyAlignment="1">
      <alignment vertical="center"/>
    </xf>
    <xf numFmtId="0" fontId="32" fillId="5" borderId="0" xfId="0" applyFont="1" applyFill="1"/>
    <xf numFmtId="4" fontId="32" fillId="0" borderId="0" xfId="0" applyNumberFormat="1" applyFont="1"/>
    <xf numFmtId="4" fontId="32" fillId="0" borderId="3" xfId="0" applyNumberFormat="1" applyFont="1" applyBorder="1" applyAlignment="1">
      <alignment horizontal="center" vertical="center" wrapText="1"/>
    </xf>
    <xf numFmtId="3"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0" xfId="0" applyFont="1" applyAlignment="1">
      <alignment vertical="center" wrapText="1"/>
    </xf>
    <xf numFmtId="175" fontId="32" fillId="0" borderId="0" xfId="0" applyNumberFormat="1" applyFont="1" applyAlignment="1">
      <alignment horizontal="center" vertical="center" wrapText="1"/>
    </xf>
    <xf numFmtId="0" fontId="32" fillId="9" borderId="0" xfId="0" applyFont="1" applyFill="1"/>
    <xf numFmtId="0" fontId="11" fillId="10" borderId="0" xfId="0" applyFont="1" applyFill="1"/>
    <xf numFmtId="0" fontId="32" fillId="0" borderId="5" xfId="0" applyFont="1" applyBorder="1" applyAlignment="1">
      <alignment horizontal="center" vertical="center" wrapText="1"/>
    </xf>
    <xf numFmtId="49" fontId="32" fillId="0" borderId="3" xfId="0" applyNumberFormat="1" applyFont="1" applyBorder="1" applyAlignment="1">
      <alignment horizontal="center" vertical="center" wrapText="1"/>
    </xf>
    <xf numFmtId="175" fontId="33" fillId="0" borderId="3" xfId="0" applyNumberFormat="1" applyFont="1" applyBorder="1" applyAlignment="1">
      <alignment horizontal="center" vertical="center" wrapText="1"/>
    </xf>
    <xf numFmtId="177" fontId="32" fillId="0" borderId="3" xfId="0" applyNumberFormat="1" applyFont="1" applyBorder="1" applyAlignment="1">
      <alignment horizontal="center" vertical="center" wrapText="1"/>
    </xf>
    <xf numFmtId="0" fontId="34" fillId="0" borderId="3" xfId="0" applyFont="1" applyBorder="1" applyAlignment="1">
      <alignment horizontal="center" vertical="center" wrapText="1"/>
    </xf>
    <xf numFmtId="0" fontId="34" fillId="0" borderId="0" xfId="0" applyFont="1" applyAlignment="1">
      <alignment horizontal="center" vertical="center" wrapText="1"/>
    </xf>
    <xf numFmtId="177" fontId="32" fillId="0" borderId="0" xfId="0" applyNumberFormat="1" applyFont="1" applyAlignment="1">
      <alignment horizontal="center" vertical="center" wrapText="1"/>
    </xf>
    <xf numFmtId="49" fontId="34" fillId="0" borderId="5" xfId="0" applyNumberFormat="1" applyFont="1" applyBorder="1" applyAlignment="1">
      <alignment horizontal="center" vertical="center" wrapText="1"/>
    </xf>
    <xf numFmtId="0" fontId="34" fillId="0" borderId="5" xfId="0" applyFont="1" applyBorder="1" applyAlignment="1">
      <alignment vertical="center" wrapText="1"/>
    </xf>
    <xf numFmtId="0" fontId="34" fillId="0" borderId="0" xfId="0" applyFont="1" applyAlignment="1">
      <alignment vertical="center"/>
    </xf>
    <xf numFmtId="175" fontId="32" fillId="0" borderId="3" xfId="0" applyNumberFormat="1" applyFont="1" applyBorder="1" applyAlignment="1">
      <alignment vertical="center" wrapText="1"/>
    </xf>
    <xf numFmtId="0" fontId="32" fillId="0" borderId="3" xfId="0" applyFont="1" applyBorder="1"/>
    <xf numFmtId="0" fontId="32" fillId="0" borderId="3" xfId="0" applyFont="1" applyBorder="1" applyAlignment="1">
      <alignment horizontal="center"/>
    </xf>
    <xf numFmtId="177" fontId="32" fillId="0" borderId="3" xfId="0" applyNumberFormat="1" applyFont="1" applyBorder="1" applyAlignment="1">
      <alignment horizontal="center"/>
    </xf>
    <xf numFmtId="175" fontId="32" fillId="0" borderId="3" xfId="0" applyNumberFormat="1" applyFont="1" applyBorder="1"/>
    <xf numFmtId="4" fontId="32" fillId="0" borderId="3" xfId="0" applyNumberFormat="1" applyFont="1" applyBorder="1" applyAlignment="1">
      <alignment horizontal="center"/>
    </xf>
    <xf numFmtId="175" fontId="32" fillId="0" borderId="3" xfId="0" applyNumberFormat="1" applyFont="1" applyBorder="1" applyAlignment="1">
      <alignment horizontal="center"/>
    </xf>
    <xf numFmtId="0" fontId="37" fillId="0" borderId="0" xfId="0" applyFont="1"/>
    <xf numFmtId="0" fontId="37" fillId="5" borderId="0" xfId="0" applyFont="1" applyFill="1"/>
    <xf numFmtId="1" fontId="32" fillId="0" borderId="3" xfId="0" applyNumberFormat="1" applyFont="1" applyBorder="1" applyAlignment="1">
      <alignment horizontal="center" vertical="center" wrapText="1"/>
    </xf>
    <xf numFmtId="0" fontId="37" fillId="9" borderId="0" xfId="0" applyFont="1" applyFill="1"/>
    <xf numFmtId="174" fontId="32" fillId="0" borderId="3" xfId="0" applyNumberFormat="1" applyFont="1" applyBorder="1" applyAlignment="1">
      <alignment horizontal="center" vertical="center" wrapText="1"/>
    </xf>
    <xf numFmtId="0" fontId="32" fillId="0" borderId="3" xfId="0" applyFont="1" applyBorder="1" applyAlignment="1">
      <alignment horizontal="right" vertical="center" wrapText="1"/>
    </xf>
    <xf numFmtId="0" fontId="0" fillId="5" borderId="0" xfId="0" applyFill="1"/>
    <xf numFmtId="0" fontId="11" fillId="5" borderId="0" xfId="0" applyFont="1" applyFill="1"/>
    <xf numFmtId="0" fontId="0" fillId="0" borderId="0" xfId="0"/>
    <xf numFmtId="4" fontId="0" fillId="0" borderId="0" xfId="0" applyNumberFormat="1"/>
    <xf numFmtId="0" fontId="0" fillId="9" borderId="0" xfId="0" applyFill="1"/>
    <xf numFmtId="0" fontId="11" fillId="9" borderId="0" xfId="0" applyFont="1" applyFill="1"/>
    <xf numFmtId="0" fontId="34" fillId="0" borderId="3" xfId="0" applyFont="1" applyBorder="1" applyAlignment="1">
      <alignment vertical="center" wrapText="1"/>
    </xf>
    <xf numFmtId="0" fontId="11" fillId="0" borderId="0" xfId="0" applyFont="1" applyAlignment="1">
      <alignment vertical="center"/>
    </xf>
    <xf numFmtId="0" fontId="11" fillId="0" borderId="3" xfId="0" applyFont="1" applyBorder="1" applyAlignment="1">
      <alignment vertical="center"/>
    </xf>
    <xf numFmtId="2" fontId="32" fillId="0" borderId="3" xfId="0" applyNumberFormat="1" applyFont="1" applyBorder="1" applyAlignment="1">
      <alignment horizontal="center" vertical="center" wrapText="1"/>
    </xf>
    <xf numFmtId="175" fontId="32" fillId="0" borderId="0" xfId="0" applyNumberFormat="1" applyFont="1" applyAlignment="1">
      <alignment horizontal="center" vertical="center" wrapText="1"/>
    </xf>
    <xf numFmtId="0" fontId="11" fillId="0" borderId="0" xfId="0" applyFont="1"/>
    <xf numFmtId="0" fontId="0" fillId="0" borderId="0" xfId="0"/>
    <xf numFmtId="0" fontId="36" fillId="0" borderId="3" xfId="0" applyFont="1" applyBorder="1" applyAlignment="1">
      <alignment horizontal="center" vertical="center" wrapText="1"/>
    </xf>
    <xf numFmtId="175" fontId="34" fillId="0" borderId="3" xfId="0" applyNumberFormat="1" applyFont="1" applyBorder="1" applyAlignment="1">
      <alignment horizontal="center" vertical="center" wrapText="1"/>
    </xf>
    <xf numFmtId="175" fontId="37" fillId="0" borderId="0" xfId="0" applyNumberFormat="1" applyFont="1"/>
    <xf numFmtId="175" fontId="32" fillId="0" borderId="0" xfId="0" applyNumberFormat="1" applyFont="1" applyAlignment="1">
      <alignment vertical="center" wrapText="1"/>
    </xf>
    <xf numFmtId="4" fontId="37" fillId="0" borderId="0" xfId="0" applyNumberFormat="1" applyFont="1"/>
    <xf numFmtId="0" fontId="11" fillId="0" borderId="3" xfId="0" applyFont="1" applyBorder="1" applyAlignment="1">
      <alignment horizontal="center" vertical="center"/>
    </xf>
    <xf numFmtId="0" fontId="11" fillId="0" borderId="3" xfId="0" applyFont="1" applyBorder="1" applyAlignment="1">
      <alignment horizontal="right"/>
    </xf>
    <xf numFmtId="2" fontId="11" fillId="0" borderId="3" xfId="0" applyNumberFormat="1" applyFont="1" applyBorder="1" applyAlignment="1">
      <alignment horizontal="center"/>
    </xf>
    <xf numFmtId="175" fontId="32" fillId="0" borderId="0" xfId="0" applyNumberFormat="1" applyFont="1"/>
    <xf numFmtId="0" fontId="11" fillId="0" borderId="0" xfId="0" applyFont="1" applyAlignment="1">
      <alignment horizontal="right"/>
    </xf>
    <xf numFmtId="175" fontId="11" fillId="0" borderId="0" xfId="0" applyNumberFormat="1" applyFont="1"/>
    <xf numFmtId="175" fontId="11" fillId="0" borderId="0" xfId="0" applyNumberFormat="1" applyFont="1" applyAlignment="1">
      <alignment horizontal="center"/>
    </xf>
    <xf numFmtId="0" fontId="32" fillId="0" borderId="3" xfId="0" applyFont="1" applyBorder="1" applyAlignment="1">
      <alignment horizontal="center" wrapText="1"/>
    </xf>
    <xf numFmtId="174" fontId="32" fillId="0" borderId="3" xfId="0" applyNumberFormat="1" applyFont="1" applyBorder="1" applyAlignment="1">
      <alignment horizontal="center" wrapText="1"/>
    </xf>
    <xf numFmtId="2" fontId="11" fillId="0" borderId="0" xfId="0" applyNumberFormat="1" applyFont="1"/>
    <xf numFmtId="175" fontId="11" fillId="0" borderId="3" xfId="0" applyNumberFormat="1" applyFont="1" applyBorder="1" applyAlignment="1">
      <alignment horizontal="center" vertical="center"/>
    </xf>
    <xf numFmtId="0" fontId="11" fillId="0" borderId="3" xfId="0" applyFont="1" applyBorder="1"/>
    <xf numFmtId="175" fontId="11" fillId="0" borderId="3" xfId="0" applyNumberFormat="1" applyFont="1" applyBorder="1"/>
    <xf numFmtId="4" fontId="11" fillId="0" borderId="3" xfId="0" applyNumberFormat="1" applyFont="1" applyBorder="1" applyAlignment="1">
      <alignment horizontal="center"/>
    </xf>
    <xf numFmtId="4" fontId="11" fillId="0" borderId="0" xfId="0" applyNumberFormat="1" applyFont="1" applyAlignment="1">
      <alignment horizontal="center"/>
    </xf>
    <xf numFmtId="175" fontId="11" fillId="0" borderId="3" xfId="0" applyNumberFormat="1" applyFont="1" applyBorder="1" applyAlignment="1">
      <alignment horizontal="center"/>
    </xf>
    <xf numFmtId="177" fontId="32" fillId="0" borderId="0" xfId="0" applyNumberFormat="1" applyFont="1" applyAlignment="1">
      <alignment horizontal="center"/>
    </xf>
    <xf numFmtId="174" fontId="32" fillId="0" borderId="0" xfId="0" applyNumberFormat="1" applyFont="1" applyAlignment="1">
      <alignment horizontal="center" wrapText="1"/>
    </xf>
    <xf numFmtId="177" fontId="11" fillId="0" borderId="3" xfId="0" applyNumberFormat="1" applyFont="1" applyBorder="1" applyAlignment="1">
      <alignment horizontal="center"/>
    </xf>
    <xf numFmtId="0" fontId="11" fillId="11" borderId="0" xfId="0" applyFont="1" applyFill="1"/>
    <xf numFmtId="177" fontId="11" fillId="0" borderId="0" xfId="0" applyNumberFormat="1" applyFont="1" applyAlignment="1">
      <alignment horizontal="center"/>
    </xf>
    <xf numFmtId="0" fontId="25" fillId="0" borderId="0" xfId="0" applyFont="1"/>
    <xf numFmtId="0" fontId="11" fillId="12" borderId="3" xfId="0" applyFont="1" applyFill="1" applyBorder="1" applyAlignment="1">
      <alignment horizontal="center"/>
    </xf>
    <xf numFmtId="0" fontId="11" fillId="12" borderId="0" xfId="0" applyFont="1" applyFill="1"/>
    <xf numFmtId="0" fontId="25" fillId="12" borderId="0" xfId="0" applyFont="1" applyFill="1"/>
    <xf numFmtId="175" fontId="11" fillId="13" borderId="3" xfId="0" applyNumberFormat="1" applyFont="1" applyFill="1" applyBorder="1" applyAlignment="1">
      <alignment horizontal="center"/>
    </xf>
    <xf numFmtId="175" fontId="11" fillId="12" borderId="3" xfId="0" applyNumberFormat="1" applyFont="1" applyFill="1" applyBorder="1" applyAlignment="1">
      <alignment horizontal="center"/>
    </xf>
    <xf numFmtId="4" fontId="11" fillId="7" borderId="3" xfId="0" applyNumberFormat="1" applyFont="1" applyFill="1" applyBorder="1" applyAlignment="1">
      <alignment horizontal="center"/>
    </xf>
    <xf numFmtId="4" fontId="11" fillId="12" borderId="3" xfId="0" applyNumberFormat="1" applyFont="1" applyFill="1" applyBorder="1" applyAlignment="1">
      <alignment horizontal="center"/>
    </xf>
    <xf numFmtId="4" fontId="25" fillId="0" borderId="0" xfId="0" applyNumberFormat="1"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11" fillId="4" borderId="0" xfId="0" applyFont="1" applyFill="1" applyBorder="1"/>
    <xf numFmtId="175" fontId="11" fillId="0" borderId="0" xfId="0" applyNumberFormat="1" applyFont="1" applyBorder="1" applyAlignment="1">
      <alignment horizontal="center" vertical="center" wrapText="1"/>
    </xf>
    <xf numFmtId="4" fontId="11" fillId="9" borderId="0" xfId="0" applyNumberFormat="1" applyFont="1" applyFill="1"/>
    <xf numFmtId="49" fontId="17" fillId="0" borderId="3" xfId="0" applyNumberFormat="1" applyFont="1" applyFill="1" applyBorder="1" applyAlignment="1">
      <alignment horizontal="center" vertical="center"/>
    </xf>
    <xf numFmtId="0" fontId="0" fillId="0" borderId="0" xfId="0" applyFill="1" applyAlignment="1">
      <alignment horizontal="left"/>
    </xf>
    <xf numFmtId="4" fontId="0" fillId="0" borderId="0" xfId="0" applyNumberFormat="1" applyFill="1" applyAlignment="1">
      <alignment horizontal="left"/>
    </xf>
    <xf numFmtId="0" fontId="33" fillId="0" borderId="3" xfId="0" applyFont="1" applyFill="1" applyBorder="1" applyAlignment="1">
      <alignment horizontal="center" vertical="top" wrapText="1"/>
    </xf>
    <xf numFmtId="2" fontId="0" fillId="0" borderId="0" xfId="0" applyNumberFormat="1" applyFill="1" applyAlignment="1">
      <alignment horizontal="left"/>
    </xf>
    <xf numFmtId="4" fontId="33" fillId="0" borderId="3" xfId="0" applyNumberFormat="1" applyFont="1" applyFill="1" applyBorder="1" applyAlignment="1">
      <alignment horizontal="center" vertical="top" wrapText="1"/>
    </xf>
    <xf numFmtId="0" fontId="33" fillId="0" borderId="3" xfId="0" applyFont="1" applyFill="1" applyBorder="1" applyAlignment="1">
      <alignment horizontal="left" vertical="top" wrapText="1"/>
    </xf>
    <xf numFmtId="3" fontId="33" fillId="0" borderId="3" xfId="0" applyNumberFormat="1" applyFont="1" applyFill="1" applyBorder="1" applyAlignment="1">
      <alignment horizontal="center" vertical="top" wrapText="1"/>
    </xf>
    <xf numFmtId="3" fontId="33" fillId="0" borderId="4" xfId="0" applyNumberFormat="1" applyFont="1" applyFill="1" applyBorder="1" applyAlignment="1">
      <alignment horizontal="center" vertical="top" wrapText="1"/>
    </xf>
    <xf numFmtId="49" fontId="17" fillId="0" borderId="3" xfId="0" applyNumberFormat="1" applyFont="1" applyFill="1" applyBorder="1" applyAlignment="1">
      <alignment horizontal="center" vertical="top"/>
    </xf>
    <xf numFmtId="1" fontId="33" fillId="0" borderId="3" xfId="0" applyNumberFormat="1" applyFont="1" applyFill="1" applyBorder="1" applyAlignment="1">
      <alignment horizontal="center" vertical="top" wrapText="1"/>
    </xf>
    <xf numFmtId="1" fontId="33" fillId="0" borderId="5" xfId="0" applyNumberFormat="1" applyFont="1" applyFill="1" applyBorder="1" applyAlignment="1">
      <alignment horizontal="center" vertical="top" wrapText="1"/>
    </xf>
    <xf numFmtId="4" fontId="33" fillId="0" borderId="5" xfId="0" applyNumberFormat="1" applyFont="1" applyFill="1" applyBorder="1" applyAlignment="1">
      <alignment horizontal="center" vertical="top" wrapText="1"/>
    </xf>
    <xf numFmtId="0" fontId="11" fillId="0" borderId="0" xfId="0" applyFont="1" applyFill="1" applyAlignment="1">
      <alignment horizontal="left" vertical="center" wrapText="1"/>
    </xf>
    <xf numFmtId="0" fontId="34" fillId="0" borderId="3" xfId="0" applyFont="1" applyFill="1" applyBorder="1" applyAlignment="1">
      <alignment horizontal="justify"/>
    </xf>
    <xf numFmtId="0" fontId="34" fillId="0" borderId="3" xfId="0" applyFont="1" applyFill="1" applyBorder="1" applyAlignment="1">
      <alignment wrapText="1"/>
    </xf>
    <xf numFmtId="0" fontId="33" fillId="0" borderId="3" xfId="0" applyFont="1" applyFill="1" applyBorder="1" applyAlignment="1">
      <alignment horizontal="left" vertical="center" wrapText="1"/>
    </xf>
    <xf numFmtId="4" fontId="33" fillId="0" borderId="4" xfId="0" applyNumberFormat="1" applyFont="1" applyFill="1" applyBorder="1" applyAlignment="1">
      <alignment horizontal="center" vertical="top" wrapText="1"/>
    </xf>
    <xf numFmtId="0" fontId="34" fillId="0" borderId="3" xfId="0" applyFont="1" applyFill="1" applyBorder="1" applyAlignment="1">
      <alignment vertical="center" wrapText="1"/>
    </xf>
    <xf numFmtId="4" fontId="33" fillId="0" borderId="5"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43" fillId="0" borderId="0" xfId="26" applyFont="1"/>
    <xf numFmtId="0" fontId="39" fillId="0" borderId="3" xfId="0" applyFont="1" applyBorder="1" applyAlignment="1">
      <alignment vertical="center" wrapText="1"/>
    </xf>
    <xf numFmtId="0" fontId="39" fillId="0" borderId="3" xfId="0" applyFont="1" applyBorder="1" applyAlignment="1">
      <alignment horizontal="center" vertical="center" wrapText="1"/>
    </xf>
    <xf numFmtId="175" fontId="39" fillId="0" borderId="3" xfId="0" applyNumberFormat="1" applyFont="1" applyBorder="1" applyAlignment="1">
      <alignment horizontal="center" vertical="center" wrapText="1"/>
    </xf>
    <xf numFmtId="0" fontId="47" fillId="0" borderId="3" xfId="0" applyFont="1" applyBorder="1" applyAlignment="1">
      <alignment horizontal="center" vertical="center" wrapText="1"/>
    </xf>
    <xf numFmtId="174" fontId="39" fillId="0" borderId="3" xfId="0" applyNumberFormat="1" applyFont="1" applyBorder="1" applyAlignment="1">
      <alignment horizontal="center" vertical="center" wrapText="1"/>
    </xf>
    <xf numFmtId="174" fontId="47" fillId="0" borderId="3" xfId="0" applyNumberFormat="1" applyFont="1" applyBorder="1" applyAlignment="1">
      <alignment horizontal="center" vertical="center" wrapText="1"/>
    </xf>
    <xf numFmtId="0" fontId="11" fillId="15" borderId="3" xfId="0" applyFont="1" applyFill="1" applyBorder="1" applyAlignment="1">
      <alignment vertical="center" wrapText="1"/>
    </xf>
    <xf numFmtId="0" fontId="11" fillId="15" borderId="3" xfId="0" applyFont="1" applyFill="1" applyBorder="1" applyAlignment="1">
      <alignment horizontal="center" vertical="center" wrapText="1"/>
    </xf>
    <xf numFmtId="175" fontId="11" fillId="15" borderId="3" xfId="0" applyNumberFormat="1" applyFont="1" applyFill="1" applyBorder="1" applyAlignment="1">
      <alignment horizontal="center" vertical="center" wrapText="1"/>
    </xf>
    <xf numFmtId="175" fontId="12" fillId="15" borderId="3" xfId="0" applyNumberFormat="1" applyFont="1" applyFill="1" applyBorder="1" applyAlignment="1">
      <alignment horizontal="center" vertical="center" wrapText="1"/>
    </xf>
    <xf numFmtId="174" fontId="11" fillId="15" borderId="3" xfId="0" applyNumberFormat="1" applyFont="1" applyFill="1" applyBorder="1" applyAlignment="1">
      <alignment horizontal="center" vertical="center" wrapText="1"/>
    </xf>
    <xf numFmtId="0" fontId="11" fillId="15" borderId="0" xfId="0" applyFont="1" applyFill="1"/>
    <xf numFmtId="0" fontId="10" fillId="0" borderId="0" xfId="0" applyFont="1" applyBorder="1"/>
    <xf numFmtId="49" fontId="21" fillId="0" borderId="9" xfId="26" applyNumberFormat="1" applyFont="1" applyBorder="1" applyAlignment="1">
      <alignment horizontal="center" vertical="top"/>
    </xf>
    <xf numFmtId="49" fontId="21" fillId="0" borderId="10" xfId="26" applyNumberFormat="1" applyFont="1" applyBorder="1" applyAlignment="1">
      <alignment horizontal="center" vertical="top"/>
    </xf>
    <xf numFmtId="49" fontId="21" fillId="0" borderId="0" xfId="26" applyNumberFormat="1" applyFont="1" applyBorder="1" applyAlignment="1">
      <alignment horizontal="center" vertical="top"/>
    </xf>
    <xf numFmtId="49" fontId="21" fillId="0" borderId="23" xfId="26" applyNumberFormat="1" applyFont="1" applyBorder="1" applyAlignment="1">
      <alignment horizontal="center" vertical="top"/>
    </xf>
    <xf numFmtId="49" fontId="21" fillId="0" borderId="24" xfId="26" applyNumberFormat="1" applyFont="1" applyBorder="1" applyAlignment="1">
      <alignment horizontal="center" vertical="top"/>
    </xf>
    <xf numFmtId="0" fontId="8" fillId="0" borderId="0" xfId="0" applyFont="1" applyAlignment="1">
      <alignment vertical="top" wrapText="1"/>
    </xf>
    <xf numFmtId="0" fontId="8" fillId="0" borderId="0" xfId="0" applyFont="1" applyBorder="1" applyAlignment="1">
      <alignment vertical="top"/>
    </xf>
    <xf numFmtId="0" fontId="8" fillId="0" borderId="0" xfId="0" applyFont="1" applyAlignment="1">
      <alignment horizontal="justify" vertical="top" wrapText="1"/>
    </xf>
    <xf numFmtId="174" fontId="8" fillId="0" borderId="0" xfId="0" applyNumberFormat="1" applyFont="1" applyAlignment="1">
      <alignment horizontal="justify" vertical="top" wrapText="1"/>
    </xf>
    <xf numFmtId="174" fontId="8" fillId="0" borderId="3" xfId="0" applyNumberFormat="1" applyFont="1" applyBorder="1" applyAlignment="1">
      <alignment horizontal="center" vertical="top" wrapText="1"/>
    </xf>
    <xf numFmtId="174" fontId="50" fillId="0" borderId="3" xfId="0" applyNumberFormat="1" applyFont="1" applyBorder="1" applyAlignment="1">
      <alignment horizontal="center" vertical="top" wrapText="1"/>
    </xf>
    <xf numFmtId="0" fontId="50" fillId="0" borderId="3" xfId="0" applyFont="1" applyBorder="1" applyAlignment="1">
      <alignment horizontal="left" vertical="top" wrapText="1"/>
    </xf>
    <xf numFmtId="174" fontId="8" fillId="0" borderId="5" xfId="0" applyNumberFormat="1" applyFont="1" applyBorder="1" applyAlignment="1">
      <alignment horizontal="center" vertical="top" wrapText="1"/>
    </xf>
    <xf numFmtId="0" fontId="8" fillId="0" borderId="0" xfId="0" applyFont="1" applyBorder="1" applyAlignment="1">
      <alignment horizontal="center" vertical="top" wrapText="1"/>
    </xf>
    <xf numFmtId="0" fontId="11"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1" fillId="15" borderId="3" xfId="0" applyFont="1" applyFill="1" applyBorder="1" applyAlignment="1">
      <alignment horizontal="center"/>
    </xf>
    <xf numFmtId="0" fontId="11" fillId="15" borderId="0" xfId="0" applyFont="1" applyFill="1" applyBorder="1"/>
    <xf numFmtId="174" fontId="11" fillId="15" borderId="3" xfId="0" applyNumberFormat="1" applyFont="1" applyFill="1" applyBorder="1" applyAlignment="1">
      <alignment horizontal="center"/>
    </xf>
    <xf numFmtId="174" fontId="12" fillId="0" borderId="5" xfId="0" applyNumberFormat="1" applyFont="1" applyBorder="1" applyAlignment="1">
      <alignment horizontal="center" vertical="center" wrapText="1"/>
    </xf>
    <xf numFmtId="174" fontId="11" fillId="0" borderId="3" xfId="0" applyNumberFormat="1" applyFont="1" applyBorder="1" applyAlignment="1">
      <alignment vertical="center" wrapText="1"/>
    </xf>
    <xf numFmtId="49" fontId="11" fillId="0" borderId="6" xfId="0" applyNumberFormat="1" applyFont="1" applyBorder="1" applyAlignment="1">
      <alignment horizontal="center" vertical="center" wrapText="1"/>
    </xf>
    <xf numFmtId="174" fontId="11" fillId="0" borderId="6" xfId="0" applyNumberFormat="1" applyFont="1" applyBorder="1" applyAlignment="1">
      <alignment horizontal="center" vertical="center" wrapText="1"/>
    </xf>
    <xf numFmtId="0" fontId="12" fillId="0" borderId="5" xfId="0" applyFont="1" applyBorder="1" applyAlignment="1">
      <alignment horizontal="center" vertical="center" wrapText="1"/>
    </xf>
    <xf numFmtId="49" fontId="14" fillId="0" borderId="9" xfId="26" applyNumberFormat="1" applyFont="1" applyFill="1" applyBorder="1" applyAlignment="1">
      <alignment horizontal="center" vertical="top" wrapText="1"/>
    </xf>
    <xf numFmtId="49" fontId="14" fillId="0" borderId="2" xfId="26" applyNumberFormat="1" applyFont="1" applyFill="1" applyBorder="1" applyAlignment="1">
      <alignment horizontal="center" vertical="top" wrapText="1"/>
    </xf>
    <xf numFmtId="49" fontId="21" fillId="0" borderId="9" xfId="26" applyNumberFormat="1" applyFont="1" applyFill="1" applyBorder="1" applyAlignment="1">
      <alignment horizontal="center" vertical="top" wrapText="1"/>
    </xf>
    <xf numFmtId="0" fontId="51" fillId="0" borderId="0" xfId="26" applyFont="1"/>
    <xf numFmtId="0" fontId="52" fillId="0" borderId="0" xfId="26" applyFont="1"/>
    <xf numFmtId="0" fontId="17" fillId="12" borderId="3" xfId="0" applyFont="1" applyFill="1" applyBorder="1" applyAlignment="1">
      <alignment vertical="center" wrapText="1"/>
    </xf>
    <xf numFmtId="0" fontId="17" fillId="12" borderId="3" xfId="0" applyFont="1" applyFill="1" applyBorder="1" applyAlignment="1">
      <alignment horizontal="center" vertical="center" wrapText="1"/>
    </xf>
    <xf numFmtId="175" fontId="17" fillId="12" borderId="3" xfId="0" applyNumberFormat="1" applyFont="1" applyFill="1" applyBorder="1" applyAlignment="1">
      <alignment horizontal="center" vertical="center" wrapText="1"/>
    </xf>
    <xf numFmtId="0" fontId="19" fillId="12" borderId="3" xfId="0" applyFont="1" applyFill="1" applyBorder="1" applyAlignment="1">
      <alignment horizontal="center" vertical="center" wrapText="1"/>
    </xf>
    <xf numFmtId="4" fontId="17" fillId="12" borderId="3" xfId="0" applyNumberFormat="1" applyFont="1" applyFill="1" applyBorder="1" applyAlignment="1">
      <alignment horizontal="center" vertical="center" wrapText="1"/>
    </xf>
    <xf numFmtId="4" fontId="19" fillId="12" borderId="3" xfId="0" applyNumberFormat="1" applyFont="1" applyFill="1" applyBorder="1" applyAlignment="1">
      <alignment horizontal="center" vertical="center" wrapText="1"/>
    </xf>
    <xf numFmtId="174" fontId="17" fillId="12" borderId="3" xfId="0" applyNumberFormat="1" applyFont="1" applyFill="1" applyBorder="1" applyAlignment="1">
      <alignment horizontal="center" vertical="center" wrapText="1"/>
    </xf>
    <xf numFmtId="0" fontId="18" fillId="12" borderId="0" xfId="0" applyFont="1" applyFill="1"/>
    <xf numFmtId="0" fontId="11" fillId="12" borderId="3" xfId="0" applyFont="1" applyFill="1" applyBorder="1" applyAlignment="1">
      <alignment vertical="center" wrapText="1"/>
    </xf>
    <xf numFmtId="0" fontId="11" fillId="12" borderId="3" xfId="0" applyFont="1" applyFill="1" applyBorder="1" applyAlignment="1">
      <alignment horizontal="center" vertical="center" wrapText="1"/>
    </xf>
    <xf numFmtId="4" fontId="11" fillId="12" borderId="3" xfId="0" applyNumberFormat="1" applyFont="1" applyFill="1" applyBorder="1" applyAlignment="1">
      <alignment horizontal="center" vertical="center" wrapText="1"/>
    </xf>
    <xf numFmtId="4" fontId="12" fillId="12" borderId="3" xfId="0" applyNumberFormat="1" applyFont="1" applyFill="1" applyBorder="1" applyAlignment="1">
      <alignment horizontal="center" vertical="center" wrapText="1"/>
    </xf>
    <xf numFmtId="0" fontId="12" fillId="12" borderId="3" xfId="0" applyFont="1" applyFill="1" applyBorder="1" applyAlignment="1">
      <alignment horizontal="center" vertical="center" wrapText="1"/>
    </xf>
    <xf numFmtId="174" fontId="11" fillId="12" borderId="3" xfId="0" applyNumberFormat="1" applyFont="1" applyFill="1" applyBorder="1" applyAlignment="1">
      <alignment horizontal="center" vertical="center" wrapText="1"/>
    </xf>
    <xf numFmtId="0" fontId="6" fillId="12" borderId="0" xfId="26" applyFont="1" applyFill="1"/>
    <xf numFmtId="0" fontId="11" fillId="12" borderId="3" xfId="0" applyFont="1" applyFill="1" applyBorder="1" applyAlignment="1">
      <alignment horizontal="left" vertical="center" wrapText="1"/>
    </xf>
    <xf numFmtId="175" fontId="11" fillId="12" borderId="3" xfId="0" applyNumberFormat="1" applyFont="1" applyFill="1" applyBorder="1" applyAlignment="1">
      <alignment horizontal="center" vertical="center" wrapText="1"/>
    </xf>
    <xf numFmtId="175" fontId="12" fillId="12" borderId="3" xfId="0" applyNumberFormat="1" applyFont="1" applyFill="1" applyBorder="1" applyAlignment="1">
      <alignment horizontal="center" vertical="center" wrapText="1"/>
    </xf>
    <xf numFmtId="0" fontId="53" fillId="0" borderId="0" xfId="26" applyFont="1"/>
    <xf numFmtId="0" fontId="49" fillId="0" borderId="0" xfId="26" applyFont="1"/>
    <xf numFmtId="0" fontId="52" fillId="0" borderId="0" xfId="26" applyFont="1" applyFill="1"/>
    <xf numFmtId="0" fontId="43" fillId="0" borderId="0" xfId="26" applyFont="1" applyFill="1"/>
    <xf numFmtId="0" fontId="44" fillId="0" borderId="0" xfId="26" applyFont="1" applyFill="1" applyAlignment="1">
      <alignment horizontal="left"/>
    </xf>
    <xf numFmtId="0" fontId="32" fillId="15" borderId="3" xfId="0" applyFont="1" applyFill="1" applyBorder="1" applyAlignment="1">
      <alignment horizontal="center" vertical="center" wrapText="1"/>
    </xf>
    <xf numFmtId="0" fontId="46" fillId="0" borderId="0" xfId="26" applyFont="1" applyFill="1"/>
    <xf numFmtId="0" fontId="6" fillId="0" borderId="0" xfId="26" applyFont="1" applyFill="1"/>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32" fillId="15" borderId="3" xfId="0" applyFont="1" applyFill="1" applyBorder="1" applyAlignment="1">
      <alignment vertical="center" wrapText="1"/>
    </xf>
    <xf numFmtId="175" fontId="32" fillId="15" borderId="3" xfId="0"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2" fontId="32" fillId="0" borderId="3" xfId="0" applyNumberFormat="1" applyFont="1" applyFill="1" applyBorder="1" applyAlignment="1">
      <alignment horizontal="center" vertical="center" wrapText="1"/>
    </xf>
    <xf numFmtId="0" fontId="11" fillId="0" borderId="0" xfId="0" applyFont="1" applyFill="1"/>
    <xf numFmtId="0" fontId="11" fillId="0" borderId="3" xfId="0" applyFont="1" applyFill="1" applyBorder="1" applyAlignment="1">
      <alignment horizontal="center" vertical="center"/>
    </xf>
    <xf numFmtId="175" fontId="11" fillId="0" borderId="3" xfId="0" applyNumberFormat="1" applyFont="1" applyFill="1" applyBorder="1" applyAlignment="1">
      <alignment horizontal="center" vertical="center"/>
    </xf>
    <xf numFmtId="174" fontId="11" fillId="0" borderId="3" xfId="0" applyNumberFormat="1" applyFont="1" applyBorder="1" applyAlignment="1">
      <alignment horizontal="center"/>
    </xf>
    <xf numFmtId="174" fontId="37" fillId="0" borderId="0" xfId="0" applyNumberFormat="1" applyFont="1"/>
    <xf numFmtId="174" fontId="32" fillId="9" borderId="0" xfId="0" applyNumberFormat="1" applyFont="1" applyFill="1"/>
    <xf numFmtId="4" fontId="0" fillId="0" borderId="0" xfId="0" applyNumberFormat="1" applyAlignment="1">
      <alignment horizontal="left"/>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34" fillId="0" borderId="0"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center" vertical="top"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174" fontId="10" fillId="0" borderId="2" xfId="0" applyNumberFormat="1" applyFont="1" applyBorder="1" applyAlignment="1">
      <alignment horizontal="justify"/>
    </xf>
    <xf numFmtId="175" fontId="11" fillId="0" borderId="3" xfId="0" applyNumberFormat="1" applyFont="1" applyFill="1" applyBorder="1" applyAlignment="1">
      <alignment horizontal="center"/>
    </xf>
    <xf numFmtId="175" fontId="32" fillId="0" borderId="3" xfId="0" applyNumberFormat="1" applyFont="1" applyFill="1" applyBorder="1" applyAlignment="1">
      <alignment horizontal="center" vertical="center" wrapText="1"/>
    </xf>
    <xf numFmtId="0" fontId="1" fillId="0" borderId="0" xfId="0" applyFont="1"/>
    <xf numFmtId="0" fontId="32" fillId="0" borderId="3" xfId="0" applyFont="1" applyFill="1" applyBorder="1" applyAlignment="1">
      <alignment vertical="center" wrapText="1"/>
    </xf>
    <xf numFmtId="175" fontId="32" fillId="8" borderId="3" xfId="0" applyNumberFormat="1" applyFont="1" applyFill="1" applyBorder="1" applyAlignment="1">
      <alignment horizontal="center" vertical="center" wrapText="1"/>
    </xf>
    <xf numFmtId="4" fontId="55" fillId="0" borderId="0" xfId="0" applyNumberFormat="1" applyFont="1"/>
    <xf numFmtId="175" fontId="33" fillId="0" borderId="3" xfId="0" applyNumberFormat="1" applyFont="1" applyFill="1" applyBorder="1" applyAlignment="1">
      <alignment horizontal="center" vertical="center" wrapText="1"/>
    </xf>
    <xf numFmtId="4" fontId="33" fillId="0" borderId="3" xfId="0" applyNumberFormat="1" applyFont="1" applyFill="1" applyBorder="1" applyAlignment="1">
      <alignment horizontal="center" vertical="top" wrapText="1"/>
    </xf>
    <xf numFmtId="175" fontId="32" fillId="0" borderId="3" xfId="0" applyNumberFormat="1" applyFont="1" applyFill="1" applyBorder="1" applyAlignment="1">
      <alignment horizontal="center" vertical="center" wrapText="1"/>
    </xf>
    <xf numFmtId="0" fontId="33" fillId="0" borderId="3" xfId="0" applyFont="1" applyFill="1" applyBorder="1" applyAlignment="1">
      <alignment vertical="center" wrapText="1"/>
    </xf>
    <xf numFmtId="1" fontId="33" fillId="0" borderId="3" xfId="0" applyNumberFormat="1" applyFont="1" applyFill="1" applyBorder="1" applyAlignment="1">
      <alignment horizontal="right" vertical="center" wrapText="1"/>
    </xf>
    <xf numFmtId="175" fontId="33" fillId="0" borderId="3" xfId="0" applyNumberFormat="1" applyFont="1" applyFill="1" applyBorder="1" applyAlignment="1">
      <alignment vertical="center" wrapText="1"/>
    </xf>
    <xf numFmtId="175" fontId="32" fillId="0" borderId="3" xfId="0" applyNumberFormat="1" applyFont="1" applyFill="1" applyBorder="1" applyAlignment="1">
      <alignment vertical="center" wrapText="1"/>
    </xf>
    <xf numFmtId="1" fontId="32" fillId="0" borderId="3" xfId="0" applyNumberFormat="1" applyFont="1" applyFill="1" applyBorder="1" applyAlignment="1">
      <alignment horizontal="center" vertical="center" wrapText="1"/>
    </xf>
    <xf numFmtId="0" fontId="11" fillId="0" borderId="3" xfId="0" applyFont="1" applyFill="1" applyBorder="1" applyAlignment="1">
      <alignment horizontal="center"/>
    </xf>
    <xf numFmtId="175" fontId="32" fillId="0" borderId="3" xfId="0" applyNumberFormat="1" applyFont="1" applyFill="1" applyBorder="1" applyAlignment="1">
      <alignment horizontal="center"/>
    </xf>
    <xf numFmtId="0" fontId="32" fillId="0" borderId="3" xfId="0" applyFont="1" applyFill="1" applyBorder="1" applyAlignment="1">
      <alignment horizontal="center"/>
    </xf>
    <xf numFmtId="174" fontId="32" fillId="0" borderId="3" xfId="0" applyNumberFormat="1" applyFont="1" applyFill="1" applyBorder="1" applyAlignment="1">
      <alignment horizontal="center" vertical="center" wrapText="1"/>
    </xf>
    <xf numFmtId="0" fontId="11" fillId="0" borderId="3" xfId="0" applyFont="1" applyFill="1" applyBorder="1" applyAlignment="1">
      <alignment vertical="center"/>
    </xf>
    <xf numFmtId="0" fontId="11" fillId="0" borderId="3" xfId="0" applyFont="1" applyFill="1" applyBorder="1" applyAlignment="1">
      <alignment horizontal="right"/>
    </xf>
    <xf numFmtId="2" fontId="11" fillId="0" borderId="3" xfId="0" applyNumberFormat="1" applyFont="1" applyFill="1" applyBorder="1" applyAlignment="1">
      <alignment horizontal="center"/>
    </xf>
    <xf numFmtId="175" fontId="32" fillId="0" borderId="3" xfId="0" applyNumberFormat="1" applyFont="1" applyFill="1" applyBorder="1"/>
    <xf numFmtId="0" fontId="56" fillId="0" borderId="0" xfId="0" applyFont="1" applyAlignment="1">
      <alignment horizontal="left" vertical="center"/>
    </xf>
    <xf numFmtId="0" fontId="57" fillId="0" borderId="0" xfId="0" applyFont="1" applyAlignment="1">
      <alignment horizontal="left"/>
    </xf>
    <xf numFmtId="0" fontId="58" fillId="0" borderId="9" xfId="0" applyFont="1" applyBorder="1" applyAlignment="1">
      <alignment horizontal="left"/>
    </xf>
    <xf numFmtId="49" fontId="59" fillId="0" borderId="0" xfId="0" applyNumberFormat="1" applyFont="1" applyAlignment="1">
      <alignment horizontal="center" vertical="center"/>
    </xf>
    <xf numFmtId="0" fontId="60" fillId="0" borderId="0" xfId="0" applyFont="1" applyAlignment="1">
      <alignment horizontal="justify" vertical="top" wrapText="1"/>
    </xf>
    <xf numFmtId="0" fontId="60" fillId="0" borderId="0" xfId="0" applyFont="1" applyAlignment="1">
      <alignment horizontal="center" vertical="top" wrapText="1"/>
    </xf>
    <xf numFmtId="1" fontId="60" fillId="8" borderId="0" xfId="0" applyNumberFormat="1" applyFont="1" applyFill="1" applyAlignment="1">
      <alignment horizontal="center" vertical="top" wrapText="1"/>
    </xf>
    <xf numFmtId="4" fontId="60" fillId="8" borderId="0" xfId="0" applyNumberFormat="1" applyFont="1" applyFill="1" applyAlignment="1">
      <alignment horizontal="center" vertical="top" wrapText="1"/>
    </xf>
    <xf numFmtId="0" fontId="60" fillId="0" borderId="3" xfId="0" applyFont="1" applyBorder="1" applyAlignment="1">
      <alignment horizontal="center" vertical="center" wrapText="1"/>
    </xf>
    <xf numFmtId="49" fontId="59" fillId="0" borderId="3" xfId="0" applyNumberFormat="1" applyFont="1" applyFill="1" applyBorder="1" applyAlignment="1">
      <alignment horizontal="center" vertical="center"/>
    </xf>
    <xf numFmtId="175" fontId="60" fillId="0" borderId="3" xfId="0" applyNumberFormat="1" applyFont="1" applyFill="1" applyBorder="1" applyAlignment="1">
      <alignment horizontal="center" vertical="center" wrapText="1"/>
    </xf>
    <xf numFmtId="0" fontId="61" fillId="0" borderId="0" xfId="0" applyFont="1"/>
    <xf numFmtId="0" fontId="62" fillId="0" borderId="0" xfId="0" applyFont="1"/>
    <xf numFmtId="0" fontId="63" fillId="0" borderId="3" xfId="0" applyFont="1" applyBorder="1" applyAlignment="1">
      <alignment horizontal="center" vertical="center" wrapText="1"/>
    </xf>
    <xf numFmtId="1" fontId="63" fillId="0" borderId="3" xfId="0" applyNumberFormat="1" applyFont="1" applyBorder="1" applyAlignment="1">
      <alignment horizontal="center" vertical="center" wrapText="1"/>
    </xf>
    <xf numFmtId="0" fontId="63" fillId="0" borderId="3" xfId="0" applyFont="1" applyFill="1" applyBorder="1" applyAlignment="1">
      <alignment horizontal="center" vertical="center" wrapText="1"/>
    </xf>
    <xf numFmtId="0" fontId="63" fillId="0" borderId="3" xfId="0" applyFont="1" applyBorder="1" applyAlignment="1">
      <alignment vertical="center" wrapText="1"/>
    </xf>
    <xf numFmtId="177" fontId="63" fillId="0" borderId="3" xfId="0" applyNumberFormat="1" applyFont="1" applyBorder="1" applyAlignment="1">
      <alignment horizontal="center" vertical="center" wrapText="1"/>
    </xf>
    <xf numFmtId="0" fontId="26" fillId="0" borderId="0" xfId="0" applyFont="1"/>
    <xf numFmtId="0" fontId="55" fillId="0" borderId="0" xfId="0" applyFont="1"/>
    <xf numFmtId="2" fontId="63" fillId="0" borderId="3" xfId="0" applyNumberFormat="1" applyFont="1" applyBorder="1" applyAlignment="1">
      <alignment horizontal="center" vertical="center" wrapText="1"/>
    </xf>
    <xf numFmtId="0" fontId="63" fillId="0" borderId="3" xfId="0" applyFont="1" applyBorder="1" applyAlignment="1">
      <alignment horizontal="left" vertical="center" wrapText="1"/>
    </xf>
    <xf numFmtId="2" fontId="63" fillId="0" borderId="3" xfId="0" applyNumberFormat="1" applyFont="1" applyFill="1" applyBorder="1" applyAlignment="1">
      <alignment horizontal="center" vertical="center" wrapText="1"/>
    </xf>
    <xf numFmtId="0" fontId="62" fillId="0" borderId="3" xfId="0" applyFont="1" applyBorder="1" applyAlignment="1">
      <alignment horizontal="center"/>
    </xf>
    <xf numFmtId="2" fontId="62" fillId="0" borderId="3" xfId="0" applyNumberFormat="1" applyFont="1" applyBorder="1" applyAlignment="1">
      <alignment horizontal="center"/>
    </xf>
    <xf numFmtId="175" fontId="62" fillId="0" borderId="3" xfId="0" applyNumberFormat="1" applyFont="1" applyBorder="1" applyAlignment="1">
      <alignment horizontal="center"/>
    </xf>
    <xf numFmtId="175" fontId="59" fillId="0" borderId="3" xfId="0" applyNumberFormat="1" applyFont="1" applyFill="1" applyBorder="1" applyAlignment="1">
      <alignment horizontal="center"/>
    </xf>
    <xf numFmtId="0" fontId="60" fillId="0" borderId="3" xfId="0" applyFont="1" applyBorder="1" applyAlignment="1">
      <alignment horizontal="left" vertical="center" wrapText="1"/>
    </xf>
    <xf numFmtId="0" fontId="59" fillId="0" borderId="3" xfId="0" applyFont="1" applyBorder="1" applyAlignment="1">
      <alignment horizontal="center"/>
    </xf>
    <xf numFmtId="2" fontId="59" fillId="0" borderId="3" xfId="0" applyNumberFormat="1" applyFont="1" applyBorder="1" applyAlignment="1">
      <alignment horizontal="center"/>
    </xf>
    <xf numFmtId="175" fontId="59" fillId="0" borderId="3" xfId="0" applyNumberFormat="1" applyFont="1" applyBorder="1" applyAlignment="1">
      <alignment horizontal="center"/>
    </xf>
    <xf numFmtId="0" fontId="63" fillId="6" borderId="3" xfId="0" applyFont="1" applyFill="1" applyBorder="1" applyAlignment="1">
      <alignment horizontal="center" vertical="center" wrapText="1"/>
    </xf>
    <xf numFmtId="49" fontId="11" fillId="0" borderId="0" xfId="0" applyNumberFormat="1" applyFont="1"/>
    <xf numFmtId="0" fontId="64" fillId="0" borderId="3" xfId="0" applyFont="1" applyBorder="1" applyAlignment="1">
      <alignment horizontal="center" vertical="center" wrapText="1"/>
    </xf>
    <xf numFmtId="175" fontId="63" fillId="0" borderId="3" xfId="0" applyNumberFormat="1" applyFont="1" applyBorder="1" applyAlignment="1">
      <alignment vertical="center" wrapText="1"/>
    </xf>
    <xf numFmtId="175" fontId="65" fillId="0" borderId="3" xfId="0" applyNumberFormat="1" applyFont="1" applyBorder="1" applyAlignment="1">
      <alignment vertical="center" wrapText="1"/>
    </xf>
    <xf numFmtId="174" fontId="63" fillId="0" borderId="3" xfId="0" applyNumberFormat="1" applyFont="1" applyBorder="1" applyAlignment="1">
      <alignment horizontal="center" vertical="center" wrapText="1"/>
    </xf>
    <xf numFmtId="0" fontId="63" fillId="0" borderId="3" xfId="0" applyFont="1" applyBorder="1" applyAlignment="1">
      <alignment horizontal="right" vertical="center" wrapText="1"/>
    </xf>
    <xf numFmtId="0" fontId="63" fillId="5" borderId="0" xfId="0" applyFont="1" applyFill="1"/>
    <xf numFmtId="0" fontId="66" fillId="5" borderId="0" xfId="0" applyFont="1" applyFill="1"/>
    <xf numFmtId="0" fontId="63" fillId="0" borderId="0" xfId="0" applyFont="1"/>
    <xf numFmtId="0" fontId="66" fillId="0" borderId="0" xfId="0" applyFont="1"/>
    <xf numFmtId="0" fontId="63" fillId="0" borderId="0" xfId="0" applyFont="1" applyAlignment="1">
      <alignment vertical="center"/>
    </xf>
    <xf numFmtId="4" fontId="11" fillId="0" borderId="3" xfId="0" applyNumberFormat="1" applyFont="1" applyBorder="1"/>
    <xf numFmtId="4" fontId="17" fillId="0" borderId="3" xfId="0" applyNumberFormat="1" applyFont="1" applyBorder="1"/>
    <xf numFmtId="4" fontId="54" fillId="0" borderId="3" xfId="0" applyNumberFormat="1" applyFont="1" applyBorder="1"/>
    <xf numFmtId="4" fontId="55" fillId="0" borderId="3" xfId="0" applyNumberFormat="1" applyFont="1" applyBorder="1"/>
    <xf numFmtId="0" fontId="55" fillId="0" borderId="0" xfId="0"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1" fillId="4" borderId="3" xfId="0" applyFont="1" applyFill="1" applyBorder="1" applyAlignment="1">
      <alignment vertical="center" wrapText="1"/>
    </xf>
    <xf numFmtId="0" fontId="11" fillId="4" borderId="3" xfId="0"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4" fontId="11" fillId="0" borderId="5"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1" fillId="0" borderId="4" xfId="0" applyFont="1" applyBorder="1" applyAlignment="1">
      <alignment vertical="center" wrapText="1"/>
    </xf>
    <xf numFmtId="0" fontId="12" fillId="0" borderId="3" xfId="0" applyFont="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horizontal="center" vertical="center" wrapText="1"/>
    </xf>
    <xf numFmtId="0" fontId="11" fillId="0" borderId="6" xfId="0" applyFont="1" applyBorder="1" applyAlignment="1">
      <alignment vertical="center" wrapText="1"/>
    </xf>
    <xf numFmtId="49" fontId="21" fillId="0" borderId="29" xfId="26" applyNumberFormat="1" applyFont="1" applyBorder="1" applyAlignment="1">
      <alignment horizontal="center" vertical="top"/>
    </xf>
    <xf numFmtId="0" fontId="33" fillId="0" borderId="3" xfId="0" applyFont="1" applyFill="1" applyBorder="1" applyAlignment="1">
      <alignment horizontal="left" vertical="top" wrapText="1"/>
    </xf>
    <xf numFmtId="4" fontId="67" fillId="0" borderId="0" xfId="0" applyNumberFormat="1" applyFont="1"/>
    <xf numFmtId="0" fontId="17" fillId="0" borderId="0" xfId="0" applyFont="1"/>
    <xf numFmtId="0" fontId="67" fillId="0" borderId="0" xfId="0" applyFont="1"/>
    <xf numFmtId="0" fontId="67" fillId="0" borderId="0" xfId="0" applyFont="1" applyAlignment="1">
      <alignment horizontal="left"/>
    </xf>
    <xf numFmtId="4" fontId="67" fillId="0" borderId="3" xfId="0" applyNumberFormat="1" applyFont="1" applyBorder="1"/>
    <xf numFmtId="4" fontId="11" fillId="0" borderId="23" xfId="0" applyNumberFormat="1" applyFont="1" applyBorder="1" applyAlignment="1">
      <alignment vertical="center"/>
    </xf>
    <xf numFmtId="4" fontId="55" fillId="0" borderId="0" xfId="0" applyNumberFormat="1" applyFont="1" applyAlignment="1">
      <alignment vertical="center"/>
    </xf>
    <xf numFmtId="4" fontId="55" fillId="0" borderId="4" xfId="0" applyNumberFormat="1" applyFont="1" applyBorder="1" applyAlignment="1">
      <alignment vertical="center"/>
    </xf>
    <xf numFmtId="4" fontId="55" fillId="0" borderId="6" xfId="0" applyNumberFormat="1" applyFont="1" applyBorder="1" applyAlignment="1">
      <alignment vertical="center"/>
    </xf>
    <xf numFmtId="4" fontId="55" fillId="0" borderId="5" xfId="0" applyNumberFormat="1" applyFont="1" applyBorder="1" applyAlignment="1">
      <alignment vertical="center"/>
    </xf>
    <xf numFmtId="4" fontId="11" fillId="0" borderId="10" xfId="0" applyNumberFormat="1" applyFont="1" applyBorder="1"/>
    <xf numFmtId="4" fontId="11" fillId="0" borderId="8" xfId="0" applyNumberFormat="1" applyFont="1" applyBorder="1"/>
    <xf numFmtId="4" fontId="11" fillId="0" borderId="9" xfId="0" applyNumberFormat="1" applyFont="1" applyBorder="1"/>
    <xf numFmtId="4" fontId="17" fillId="0" borderId="24" xfId="0" applyNumberFormat="1" applyFont="1" applyBorder="1"/>
    <xf numFmtId="4" fontId="17" fillId="0" borderId="0" xfId="0" applyNumberFormat="1" applyFont="1" applyBorder="1"/>
    <xf numFmtId="4" fontId="17" fillId="0" borderId="23" xfId="0" applyNumberFormat="1" applyFont="1" applyBorder="1"/>
    <xf numFmtId="4" fontId="67" fillId="0" borderId="0" xfId="0" applyNumberFormat="1" applyFont="1" applyBorder="1"/>
    <xf numFmtId="4" fontId="11" fillId="0" borderId="0" xfId="0" applyNumberFormat="1" applyFont="1" applyBorder="1"/>
    <xf numFmtId="4" fontId="67" fillId="0" borderId="2" xfId="0" applyNumberFormat="1" applyFont="1" applyBorder="1"/>
    <xf numFmtId="4" fontId="67" fillId="0" borderId="28" xfId="0" applyNumberFormat="1" applyFont="1" applyBorder="1"/>
    <xf numFmtId="0" fontId="33" fillId="8" borderId="38" xfId="0" applyFont="1" applyFill="1" applyBorder="1" applyAlignment="1">
      <alignment horizontal="left" vertical="top" wrapText="1"/>
    </xf>
    <xf numFmtId="0" fontId="33" fillId="0" borderId="3" xfId="0" applyFont="1" applyBorder="1" applyAlignment="1">
      <alignment horizontal="justify" vertical="top" wrapText="1"/>
    </xf>
    <xf numFmtId="0" fontId="33" fillId="8" borderId="39" xfId="0" applyFont="1" applyFill="1" applyBorder="1" applyAlignment="1">
      <alignment horizontal="center" vertical="top" wrapText="1"/>
    </xf>
    <xf numFmtId="3" fontId="33" fillId="8" borderId="3" xfId="0" applyNumberFormat="1" applyFont="1" applyFill="1" applyBorder="1" applyAlignment="1">
      <alignment horizontal="center" vertical="top" wrapText="1"/>
    </xf>
    <xf numFmtId="2" fontId="33" fillId="8" borderId="3" xfId="0" applyNumberFormat="1" applyFont="1" applyFill="1" applyBorder="1" applyAlignment="1">
      <alignment horizontal="center" vertical="top" wrapText="1"/>
    </xf>
    <xf numFmtId="4" fontId="33" fillId="8" borderId="3" xfId="0" applyNumberFormat="1" applyFont="1" applyFill="1" applyBorder="1" applyAlignment="1">
      <alignment horizontal="center" vertical="top" wrapText="1"/>
    </xf>
    <xf numFmtId="0" fontId="33" fillId="8" borderId="40" xfId="0" applyFont="1" applyFill="1" applyBorder="1" applyAlignment="1">
      <alignment horizontal="center" vertical="top" wrapText="1"/>
    </xf>
    <xf numFmtId="0" fontId="33" fillId="0" borderId="25" xfId="0" applyFont="1" applyBorder="1" applyAlignment="1">
      <alignment horizontal="center" vertical="top" wrapText="1"/>
    </xf>
    <xf numFmtId="0" fontId="33" fillId="0" borderId="8" xfId="0" applyFont="1" applyBorder="1" applyAlignment="1">
      <alignment horizontal="center" vertical="top" wrapText="1"/>
    </xf>
    <xf numFmtId="4" fontId="68" fillId="0" borderId="3" xfId="0" applyNumberFormat="1" applyFont="1" applyFill="1" applyBorder="1" applyAlignment="1">
      <alignment horizontal="center" vertical="top" wrapText="1"/>
    </xf>
    <xf numFmtId="4" fontId="68" fillId="0" borderId="5" xfId="0" applyNumberFormat="1" applyFont="1" applyFill="1" applyBorder="1" applyAlignment="1">
      <alignment horizontal="center" vertical="top" wrapText="1"/>
    </xf>
    <xf numFmtId="0" fontId="34" fillId="0" borderId="3" xfId="0" applyFont="1" applyFill="1" applyBorder="1" applyAlignment="1">
      <alignment horizontal="center"/>
    </xf>
    <xf numFmtId="0" fontId="34" fillId="0" borderId="5" xfId="0" applyFont="1" applyFill="1" applyBorder="1" applyAlignment="1">
      <alignment horizontal="center"/>
    </xf>
    <xf numFmtId="0" fontId="34" fillId="0" borderId="3" xfId="0" applyFont="1" applyFill="1" applyBorder="1" applyAlignment="1">
      <alignment horizontal="center" vertical="center"/>
    </xf>
    <xf numFmtId="0" fontId="34" fillId="0" borderId="5" xfId="0" applyFont="1" applyFill="1" applyBorder="1" applyAlignment="1">
      <alignment horizontal="center" vertical="center"/>
    </xf>
    <xf numFmtId="0" fontId="13" fillId="0" borderId="0" xfId="26" applyFont="1"/>
    <xf numFmtId="0" fontId="44" fillId="0" borderId="0" xfId="26" applyFont="1" applyAlignment="1">
      <alignment horizontal="left"/>
    </xf>
    <xf numFmtId="0" fontId="13" fillId="0" borderId="0" xfId="26" applyFont="1" applyFill="1"/>
    <xf numFmtId="0" fontId="14" fillId="0" borderId="0" xfId="26" applyFont="1" applyFill="1" applyAlignment="1">
      <alignment horizontal="center" vertical="top"/>
    </xf>
    <xf numFmtId="0" fontId="14" fillId="0" borderId="0" xfId="26" applyFont="1" applyAlignment="1">
      <alignment horizontal="left"/>
    </xf>
    <xf numFmtId="0" fontId="14" fillId="0" borderId="0" xfId="26" applyFont="1" applyFill="1" applyAlignment="1">
      <alignment horizontal="right"/>
    </xf>
    <xf numFmtId="0" fontId="14" fillId="0" borderId="0" xfId="26" applyFont="1" applyFill="1" applyAlignment="1">
      <alignment horizontal="left"/>
    </xf>
    <xf numFmtId="0" fontId="14" fillId="0" borderId="11" xfId="26" applyFont="1" applyFill="1" applyBorder="1" applyAlignment="1">
      <alignment horizontal="left"/>
    </xf>
    <xf numFmtId="0" fontId="14" fillId="0" borderId="12" xfId="26" applyFont="1" applyFill="1" applyBorder="1" applyAlignment="1">
      <alignment horizontal="left"/>
    </xf>
    <xf numFmtId="0" fontId="14" fillId="0" borderId="13" xfId="26" applyFont="1" applyFill="1" applyBorder="1" applyAlignment="1">
      <alignment horizontal="left"/>
    </xf>
    <xf numFmtId="0" fontId="14" fillId="0" borderId="14" xfId="26" applyFont="1" applyFill="1" applyBorder="1" applyAlignment="1">
      <alignment horizontal="left"/>
    </xf>
    <xf numFmtId="0" fontId="14" fillId="0" borderId="13" xfId="26" applyFont="1" applyBorder="1" applyAlignment="1">
      <alignment horizontal="center" vertical="top"/>
    </xf>
    <xf numFmtId="0" fontId="14" fillId="0" borderId="0" xfId="26" applyFont="1" applyAlignment="1">
      <alignment horizontal="center" vertical="top"/>
    </xf>
    <xf numFmtId="0" fontId="14" fillId="0" borderId="14" xfId="26" applyFont="1" applyBorder="1" applyAlignment="1">
      <alignment horizontal="center" vertical="top"/>
    </xf>
    <xf numFmtId="0" fontId="14" fillId="0" borderId="13" xfId="26" applyFont="1" applyBorder="1" applyAlignment="1">
      <alignment horizontal="left"/>
    </xf>
    <xf numFmtId="0" fontId="14" fillId="0" borderId="14" xfId="26" applyFont="1" applyBorder="1" applyAlignment="1">
      <alignment horizontal="left"/>
    </xf>
    <xf numFmtId="49" fontId="15" fillId="0" borderId="25" xfId="26" applyNumberFormat="1" applyFont="1" applyBorder="1" applyAlignment="1">
      <alignment horizontal="center"/>
    </xf>
    <xf numFmtId="49" fontId="15" fillId="0" borderId="28" xfId="26" applyNumberFormat="1" applyFont="1" applyBorder="1" applyAlignment="1">
      <alignment horizontal="center" vertical="top" wrapText="1"/>
    </xf>
    <xf numFmtId="49" fontId="72" fillId="14" borderId="36" xfId="0" applyNumberFormat="1" applyFont="1" applyFill="1" applyBorder="1" applyAlignment="1">
      <alignment horizontal="center"/>
    </xf>
    <xf numFmtId="4" fontId="72" fillId="14" borderId="36" xfId="0" applyNumberFormat="1" applyFont="1" applyFill="1" applyBorder="1" applyAlignment="1">
      <alignment horizontal="right"/>
    </xf>
    <xf numFmtId="49" fontId="72" fillId="14" borderId="8" xfId="0" applyNumberFormat="1" applyFont="1" applyFill="1" applyBorder="1" applyAlignment="1">
      <alignment horizontal="center"/>
    </xf>
    <xf numFmtId="4" fontId="72" fillId="14" borderId="8" xfId="0" applyNumberFormat="1" applyFont="1" applyFill="1" applyBorder="1" applyAlignment="1">
      <alignment horizontal="right"/>
    </xf>
    <xf numFmtId="49" fontId="72" fillId="0" borderId="8" xfId="0" applyNumberFormat="1" applyFont="1" applyBorder="1" applyAlignment="1">
      <alignment horizontal="center"/>
    </xf>
    <xf numFmtId="4" fontId="72" fillId="0" borderId="8" xfId="0" applyNumberFormat="1" applyFont="1" applyBorder="1" applyAlignment="1">
      <alignment horizontal="right"/>
    </xf>
    <xf numFmtId="49" fontId="72" fillId="14" borderId="36" xfId="26" applyNumberFormat="1" applyFont="1" applyFill="1" applyBorder="1" applyAlignment="1">
      <alignment horizontal="center"/>
    </xf>
    <xf numFmtId="4" fontId="72" fillId="14" borderId="36" xfId="26" applyNumberFormat="1" applyFont="1" applyFill="1" applyBorder="1" applyAlignment="1">
      <alignment horizontal="right"/>
    </xf>
    <xf numFmtId="49" fontId="72" fillId="0" borderId="8" xfId="26" applyNumberFormat="1" applyFont="1" applyBorder="1" applyAlignment="1">
      <alignment horizontal="center"/>
    </xf>
    <xf numFmtId="4" fontId="72" fillId="0" borderId="8" xfId="26" applyNumberFormat="1" applyFont="1" applyBorder="1" applyAlignment="1">
      <alignment horizontal="right"/>
    </xf>
    <xf numFmtId="0" fontId="23" fillId="0" borderId="0" xfId="26" applyFont="1" applyAlignment="1">
      <alignment horizontal="left"/>
    </xf>
    <xf numFmtId="49" fontId="17" fillId="0" borderId="0" xfId="0" applyNumberFormat="1" applyFont="1" applyAlignment="1">
      <alignment horizontal="left"/>
    </xf>
    <xf numFmtId="4" fontId="17" fillId="0" borderId="25" xfId="0" applyNumberFormat="1" applyFont="1" applyBorder="1"/>
    <xf numFmtId="4" fontId="17" fillId="0" borderId="22" xfId="0" applyNumberFormat="1" applyFont="1" applyBorder="1"/>
    <xf numFmtId="4" fontId="17" fillId="0" borderId="28" xfId="0" applyNumberFormat="1" applyFont="1" applyBorder="1"/>
    <xf numFmtId="4" fontId="17" fillId="0" borderId="27" xfId="0" applyNumberFormat="1" applyFont="1" applyBorder="1"/>
    <xf numFmtId="0" fontId="17" fillId="0" borderId="25" xfId="0" applyFont="1" applyBorder="1"/>
    <xf numFmtId="0" fontId="17" fillId="0" borderId="7" xfId="0" applyFont="1" applyBorder="1"/>
    <xf numFmtId="0" fontId="17" fillId="0" borderId="24" xfId="0" applyFont="1" applyBorder="1"/>
    <xf numFmtId="0" fontId="17" fillId="0" borderId="0" xfId="0" applyFont="1" applyBorder="1"/>
    <xf numFmtId="0" fontId="17" fillId="0" borderId="0" xfId="0" applyFont="1" applyBorder="1" applyAlignment="1">
      <alignment horizontal="left"/>
    </xf>
    <xf numFmtId="0" fontId="17" fillId="0" borderId="28" xfId="0" applyFont="1" applyBorder="1"/>
    <xf numFmtId="0" fontId="17" fillId="0" borderId="2" xfId="0" applyFont="1" applyBorder="1"/>
    <xf numFmtId="0" fontId="17" fillId="0" borderId="2" xfId="0" applyFont="1" applyBorder="1" applyAlignment="1">
      <alignment horizontal="left"/>
    </xf>
    <xf numFmtId="49" fontId="21" fillId="0" borderId="8" xfId="26" applyNumberFormat="1" applyFont="1" applyBorder="1" applyAlignment="1">
      <alignment horizontal="center" vertical="top"/>
    </xf>
    <xf numFmtId="49" fontId="21" fillId="0" borderId="6" xfId="26" applyNumberFormat="1" applyFont="1" applyBorder="1" applyAlignment="1">
      <alignment horizontal="center" vertical="top"/>
    </xf>
    <xf numFmtId="4" fontId="72" fillId="14" borderId="41" xfId="0" applyNumberFormat="1" applyFont="1" applyFill="1" applyBorder="1" applyAlignment="1">
      <alignment horizontal="right"/>
    </xf>
    <xf numFmtId="4" fontId="72" fillId="14" borderId="3" xfId="0" applyNumberFormat="1" applyFont="1" applyFill="1" applyBorder="1" applyAlignment="1">
      <alignment horizontal="right"/>
    </xf>
    <xf numFmtId="4" fontId="72" fillId="0" borderId="3" xfId="0" applyNumberFormat="1" applyFont="1" applyBorder="1" applyAlignment="1">
      <alignment horizontal="right"/>
    </xf>
    <xf numFmtId="4" fontId="72" fillId="14" borderId="41" xfId="26" applyNumberFormat="1" applyFont="1" applyFill="1" applyBorder="1" applyAlignment="1">
      <alignment horizontal="right"/>
    </xf>
    <xf numFmtId="4" fontId="72" fillId="0" borderId="3" xfId="26" applyNumberFormat="1" applyFont="1" applyBorder="1" applyAlignment="1">
      <alignment horizontal="right"/>
    </xf>
    <xf numFmtId="174" fontId="19" fillId="0" borderId="3" xfId="0" applyNumberFormat="1" applyFont="1" applyBorder="1" applyAlignment="1">
      <alignment horizontal="center" vertical="center" wrapText="1"/>
    </xf>
    <xf numFmtId="4" fontId="55" fillId="0" borderId="23" xfId="0" applyNumberFormat="1" applyFont="1" applyBorder="1"/>
    <xf numFmtId="0" fontId="6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55" fillId="5" borderId="0" xfId="0" applyFont="1" applyFill="1"/>
    <xf numFmtId="0" fontId="74" fillId="5" borderId="0" xfId="0" applyFont="1" applyFill="1"/>
    <xf numFmtId="0" fontId="75" fillId="5" borderId="0" xfId="0" applyFont="1" applyFill="1"/>
    <xf numFmtId="0" fontId="75" fillId="0" borderId="0" xfId="0" applyFont="1"/>
    <xf numFmtId="0" fontId="76"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76" fillId="0" borderId="3" xfId="0" applyFont="1" applyBorder="1" applyAlignment="1">
      <alignment vertical="center" wrapText="1"/>
    </xf>
    <xf numFmtId="175" fontId="76" fillId="0" borderId="3" xfId="0" applyNumberFormat="1" applyFont="1" applyFill="1" applyBorder="1" applyAlignment="1">
      <alignment horizontal="center" vertical="center" wrapText="1"/>
    </xf>
    <xf numFmtId="0" fontId="55" fillId="0" borderId="3" xfId="0" applyFont="1" applyBorder="1" applyAlignment="1">
      <alignment vertical="center"/>
    </xf>
    <xf numFmtId="175" fontId="75" fillId="0" borderId="0" xfId="0" applyNumberFormat="1" applyFont="1" applyAlignment="1">
      <alignment horizontal="left"/>
    </xf>
    <xf numFmtId="4" fontId="75" fillId="0" borderId="0" xfId="0" applyNumberFormat="1" applyFont="1" applyAlignment="1">
      <alignment horizontal="left"/>
    </xf>
    <xf numFmtId="0" fontId="55" fillId="0" borderId="0" xfId="0" applyFont="1" applyAlignment="1">
      <alignment vertical="center"/>
    </xf>
    <xf numFmtId="0" fontId="55" fillId="9" borderId="0" xfId="0" applyFont="1" applyFill="1"/>
    <xf numFmtId="0" fontId="75" fillId="9" borderId="0" xfId="0" applyFont="1" applyFill="1"/>
    <xf numFmtId="175" fontId="75" fillId="9" borderId="0" xfId="0" applyNumberFormat="1" applyFont="1" applyFill="1" applyAlignment="1">
      <alignment horizontal="left"/>
    </xf>
    <xf numFmtId="175" fontId="76" fillId="0" borderId="3" xfId="0" applyNumberFormat="1" applyFont="1" applyBorder="1" applyAlignment="1">
      <alignment horizontal="center" vertical="center" wrapText="1"/>
    </xf>
    <xf numFmtId="175" fontId="76" fillId="0" borderId="0" xfId="0" applyNumberFormat="1" applyFont="1" applyAlignment="1">
      <alignment horizontal="center" vertical="center" wrapText="1"/>
    </xf>
    <xf numFmtId="4" fontId="75" fillId="0" borderId="0" xfId="0" applyNumberFormat="1" applyFont="1"/>
    <xf numFmtId="175" fontId="75" fillId="0" borderId="0" xfId="0" applyNumberFormat="1" applyFont="1"/>
    <xf numFmtId="0" fontId="45" fillId="0" borderId="3" xfId="0" applyFont="1" applyBorder="1" applyAlignment="1">
      <alignment horizontal="center" vertical="center" wrapText="1"/>
    </xf>
    <xf numFmtId="0" fontId="45" fillId="0" borderId="3" xfId="0" applyFont="1" applyBorder="1" applyAlignment="1">
      <alignment vertical="center" wrapText="1"/>
    </xf>
    <xf numFmtId="175" fontId="45" fillId="0" borderId="3" xfId="0" applyNumberFormat="1" applyFont="1" applyBorder="1" applyAlignment="1">
      <alignment horizontal="center" vertical="center" wrapText="1"/>
    </xf>
    <xf numFmtId="0" fontId="45" fillId="0" borderId="3" xfId="0" applyFont="1" applyFill="1" applyBorder="1" applyAlignment="1">
      <alignment vertical="center" wrapText="1"/>
    </xf>
    <xf numFmtId="175" fontId="45" fillId="0" borderId="3" xfId="0" applyNumberFormat="1" applyFont="1" applyFill="1" applyBorder="1" applyAlignment="1">
      <alignment horizontal="center" vertical="center" wrapText="1"/>
    </xf>
    <xf numFmtId="0" fontId="76" fillId="5" borderId="0" xfId="0" applyFont="1" applyFill="1" applyAlignment="1">
      <alignment vertical="center" wrapText="1"/>
    </xf>
    <xf numFmtId="0" fontId="76" fillId="5" borderId="0" xfId="0" applyFont="1" applyFill="1" applyAlignment="1">
      <alignment horizontal="center" vertical="center" wrapText="1"/>
    </xf>
    <xf numFmtId="175" fontId="76" fillId="5" borderId="0" xfId="0" applyNumberFormat="1" applyFont="1" applyFill="1" applyAlignment="1">
      <alignment horizontal="center" vertical="center" wrapText="1"/>
    </xf>
    <xf numFmtId="0" fontId="76" fillId="0" borderId="0" xfId="0" applyFont="1" applyAlignment="1">
      <alignment vertical="center" wrapText="1"/>
    </xf>
    <xf numFmtId="0" fontId="76" fillId="0" borderId="0" xfId="0" applyFont="1" applyAlignment="1">
      <alignment horizontal="center" vertical="center" wrapText="1"/>
    </xf>
    <xf numFmtId="0" fontId="55" fillId="0" borderId="3" xfId="0" applyFont="1" applyBorder="1" applyAlignment="1">
      <alignment horizontal="right"/>
    </xf>
    <xf numFmtId="0" fontId="55" fillId="0" borderId="3" xfId="0" applyFont="1" applyBorder="1" applyAlignment="1">
      <alignment horizontal="center"/>
    </xf>
    <xf numFmtId="0" fontId="76" fillId="0" borderId="3" xfId="0" applyFont="1" applyBorder="1" applyAlignment="1">
      <alignment horizontal="center"/>
    </xf>
    <xf numFmtId="0" fontId="76" fillId="0" borderId="3" xfId="0" applyFont="1" applyFill="1" applyBorder="1" applyAlignment="1">
      <alignment horizontal="center"/>
    </xf>
    <xf numFmtId="0" fontId="55" fillId="0" borderId="3" xfId="0" applyFont="1" applyBorder="1" applyAlignment="1">
      <alignment horizontal="center" vertical="center"/>
    </xf>
    <xf numFmtId="2" fontId="55" fillId="0" borderId="3" xfId="0" applyNumberFormat="1" applyFont="1" applyFill="1" applyBorder="1" applyAlignment="1">
      <alignment horizontal="center" vertical="center"/>
    </xf>
    <xf numFmtId="175" fontId="55" fillId="0" borderId="3" xfId="0" applyNumberFormat="1" applyFont="1" applyFill="1" applyBorder="1" applyAlignment="1">
      <alignment horizontal="center" vertical="center"/>
    </xf>
    <xf numFmtId="0" fontId="55" fillId="0" borderId="3" xfId="0" applyFont="1" applyFill="1" applyBorder="1" applyAlignment="1">
      <alignment horizontal="center" vertical="center"/>
    </xf>
    <xf numFmtId="2" fontId="55" fillId="0" borderId="3" xfId="0" applyNumberFormat="1" applyFont="1" applyBorder="1" applyAlignment="1">
      <alignment horizontal="center" vertical="center"/>
    </xf>
    <xf numFmtId="175" fontId="55" fillId="0" borderId="3" xfId="0" applyNumberFormat="1" applyFont="1" applyBorder="1" applyAlignment="1">
      <alignment horizontal="center" vertical="center"/>
    </xf>
    <xf numFmtId="0" fontId="55" fillId="0" borderId="3" xfId="0" applyFont="1" applyBorder="1"/>
    <xf numFmtId="0" fontId="55" fillId="0" borderId="3" xfId="0" applyFont="1" applyFill="1" applyBorder="1" applyAlignment="1">
      <alignment horizontal="center"/>
    </xf>
    <xf numFmtId="175" fontId="55" fillId="0" borderId="3" xfId="0" applyNumberFormat="1" applyFont="1" applyFill="1" applyBorder="1"/>
    <xf numFmtId="4" fontId="55" fillId="0" borderId="3" xfId="0" applyNumberFormat="1" applyFont="1" applyBorder="1" applyAlignment="1">
      <alignment horizontal="center"/>
    </xf>
    <xf numFmtId="0" fontId="11" fillId="0" borderId="0" xfId="0" applyFont="1" applyBorder="1"/>
    <xf numFmtId="0" fontId="11" fillId="0" borderId="0" xfId="0" applyFont="1" applyBorder="1" applyAlignment="1">
      <alignment horizontal="right"/>
    </xf>
    <xf numFmtId="0" fontId="11" fillId="0" borderId="0" xfId="0" applyFont="1" applyBorder="1" applyAlignment="1">
      <alignment horizontal="center"/>
    </xf>
    <xf numFmtId="0" fontId="11" fillId="0" borderId="0" xfId="0" applyFont="1" applyFill="1" applyBorder="1" applyAlignment="1">
      <alignment horizontal="center"/>
    </xf>
    <xf numFmtId="175" fontId="11" fillId="0" borderId="0" xfId="0" applyNumberFormat="1" applyFont="1" applyFill="1" applyBorder="1"/>
    <xf numFmtId="4" fontId="11" fillId="0" borderId="0" xfId="0" applyNumberFormat="1" applyFont="1" applyBorder="1" applyAlignment="1">
      <alignment horizontal="center"/>
    </xf>
    <xf numFmtId="0" fontId="77" fillId="0" borderId="3" xfId="0" applyFont="1" applyFill="1" applyBorder="1" applyAlignment="1">
      <alignment horizontal="center" vertical="center" wrapText="1"/>
    </xf>
    <xf numFmtId="0" fontId="77" fillId="0" borderId="3" xfId="0" applyFont="1" applyFill="1" applyBorder="1" applyAlignment="1">
      <alignment vertical="center" wrapText="1"/>
    </xf>
    <xf numFmtId="174" fontId="77" fillId="0" borderId="3" xfId="0" applyNumberFormat="1" applyFont="1" applyFill="1" applyBorder="1" applyAlignment="1">
      <alignment horizontal="center" vertical="center" wrapText="1"/>
    </xf>
    <xf numFmtId="175" fontId="77" fillId="0" borderId="3" xfId="0" applyNumberFormat="1" applyFont="1" applyFill="1" applyBorder="1" applyAlignment="1">
      <alignment horizontal="center" vertical="center" wrapText="1"/>
    </xf>
    <xf numFmtId="175" fontId="77" fillId="0" borderId="3" xfId="0" applyNumberFormat="1" applyFont="1" applyBorder="1" applyAlignment="1">
      <alignment horizontal="center" vertical="center" wrapText="1"/>
    </xf>
    <xf numFmtId="174" fontId="77" fillId="0" borderId="3" xfId="0" applyNumberFormat="1" applyFont="1" applyBorder="1" applyAlignment="1">
      <alignment horizontal="center" vertical="center" wrapText="1"/>
    </xf>
    <xf numFmtId="0" fontId="63" fillId="0" borderId="3" xfId="0" applyFont="1" applyFill="1" applyBorder="1" applyAlignment="1">
      <alignment vertical="center" wrapText="1"/>
    </xf>
    <xf numFmtId="175" fontId="63" fillId="0" borderId="3" xfId="0" applyNumberFormat="1" applyFont="1" applyFill="1" applyBorder="1" applyAlignment="1">
      <alignment vertical="center" wrapText="1"/>
    </xf>
    <xf numFmtId="0" fontId="63" fillId="0" borderId="3" xfId="0" applyFont="1" applyFill="1" applyBorder="1" applyAlignment="1">
      <alignment horizontal="right" vertical="center" wrapText="1"/>
    </xf>
    <xf numFmtId="4" fontId="79" fillId="4" borderId="3" xfId="0" applyNumberFormat="1" applyFont="1" applyFill="1" applyBorder="1" applyAlignment="1">
      <alignment horizontal="center" vertical="center" wrapText="1"/>
    </xf>
    <xf numFmtId="175" fontId="78" fillId="4" borderId="3" xfId="0" applyNumberFormat="1" applyFont="1" applyFill="1" applyBorder="1" applyAlignment="1">
      <alignment horizontal="center" vertical="center" wrapText="1"/>
    </xf>
    <xf numFmtId="4" fontId="80" fillId="4" borderId="3" xfId="0" applyNumberFormat="1" applyFont="1" applyFill="1" applyBorder="1" applyAlignment="1">
      <alignment horizontal="center" vertical="center" wrapText="1"/>
    </xf>
    <xf numFmtId="0" fontId="80" fillId="4" borderId="3" xfId="0" applyFont="1" applyFill="1" applyBorder="1" applyAlignment="1">
      <alignment horizontal="center" vertical="center" wrapText="1"/>
    </xf>
    <xf numFmtId="175" fontId="80" fillId="4" borderId="3" xfId="0" applyNumberFormat="1" applyFont="1" applyFill="1" applyBorder="1" applyAlignment="1">
      <alignment horizontal="center" vertical="center" wrapText="1"/>
    </xf>
    <xf numFmtId="4" fontId="78" fillId="4" borderId="3" xfId="0" applyNumberFormat="1" applyFont="1" applyFill="1" applyBorder="1" applyAlignment="1">
      <alignment horizontal="center" vertical="center" wrapText="1"/>
    </xf>
    <xf numFmtId="0" fontId="80" fillId="0" borderId="0" xfId="0" applyFont="1" applyAlignment="1">
      <alignment horizontal="left"/>
    </xf>
    <xf numFmtId="0" fontId="80" fillId="0" borderId="0" xfId="0" applyFont="1"/>
    <xf numFmtId="0" fontId="33" fillId="0" borderId="0" xfId="0" applyFont="1"/>
    <xf numFmtId="0" fontId="33" fillId="0" borderId="0" xfId="0" applyFont="1" applyAlignment="1">
      <alignment vertical="center"/>
    </xf>
    <xf numFmtId="0" fontId="33" fillId="5" borderId="0" xfId="0" applyFont="1" applyFill="1"/>
    <xf numFmtId="4" fontId="33" fillId="0" borderId="3" xfId="0" applyNumberFormat="1" applyFont="1" applyBorder="1" applyAlignment="1">
      <alignment horizontal="center" vertical="center" wrapText="1"/>
    </xf>
    <xf numFmtId="2" fontId="33" fillId="0" borderId="3" xfId="0" applyNumberFormat="1" applyFont="1" applyBorder="1" applyAlignment="1">
      <alignment horizontal="center" vertical="center" wrapText="1"/>
    </xf>
    <xf numFmtId="4" fontId="33" fillId="0" borderId="3" xfId="0" applyNumberFormat="1" applyFont="1" applyFill="1" applyBorder="1" applyAlignment="1">
      <alignment horizontal="center" vertical="center" wrapText="1"/>
    </xf>
    <xf numFmtId="0" fontId="33" fillId="0" borderId="0" xfId="0" applyFont="1" applyAlignment="1">
      <alignment vertical="center" wrapText="1"/>
    </xf>
    <xf numFmtId="0" fontId="81" fillId="0" borderId="3" xfId="0" applyFont="1" applyBorder="1" applyAlignment="1">
      <alignment horizontal="center" vertical="center" wrapText="1"/>
    </xf>
    <xf numFmtId="0" fontId="33" fillId="0" borderId="0" xfId="0" applyFont="1" applyAlignment="1">
      <alignment horizontal="center" vertical="center" wrapText="1"/>
    </xf>
    <xf numFmtId="175" fontId="33" fillId="0" borderId="0" xfId="0" applyNumberFormat="1" applyFont="1" applyAlignment="1">
      <alignment horizontal="center" vertical="center" wrapText="1"/>
    </xf>
    <xf numFmtId="0" fontId="33" fillId="9" borderId="0" xfId="0" applyFont="1" applyFill="1"/>
    <xf numFmtId="0" fontId="82" fillId="0" borderId="0" xfId="0" applyFont="1"/>
    <xf numFmtId="0" fontId="17" fillId="5" borderId="0" xfId="0" applyFont="1" applyFill="1"/>
    <xf numFmtId="0" fontId="82" fillId="5" borderId="0" xfId="0" applyFont="1" applyFill="1"/>
    <xf numFmtId="0" fontId="33" fillId="0" borderId="3" xfId="0" applyFont="1" applyFill="1" applyBorder="1" applyAlignment="1">
      <alignment horizontal="center" vertical="center" wrapText="1"/>
    </xf>
    <xf numFmtId="4" fontId="82" fillId="0" borderId="0" xfId="0" applyNumberFormat="1" applyFont="1"/>
    <xf numFmtId="0" fontId="17" fillId="9" borderId="0" xfId="0" applyFont="1" applyFill="1"/>
    <xf numFmtId="0" fontId="82" fillId="9" borderId="0" xfId="0" applyFont="1" applyFill="1"/>
    <xf numFmtId="0" fontId="17" fillId="10" borderId="0" xfId="0" applyFont="1" applyFill="1"/>
    <xf numFmtId="0" fontId="78" fillId="16" borderId="3" xfId="0" applyFont="1" applyFill="1" applyBorder="1" applyAlignment="1">
      <alignment horizontal="center" vertical="center" wrapText="1"/>
    </xf>
    <xf numFmtId="0" fontId="78" fillId="16" borderId="5"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174" fontId="78" fillId="16" borderId="3" xfId="0" applyNumberFormat="1" applyFont="1" applyFill="1" applyBorder="1" applyAlignment="1">
      <alignment horizontal="center" vertical="center" wrapText="1"/>
    </xf>
    <xf numFmtId="174" fontId="78" fillId="16" borderId="5" xfId="0" applyNumberFormat="1" applyFont="1" applyFill="1" applyBorder="1" applyAlignment="1">
      <alignment horizontal="center" vertical="center" wrapText="1"/>
    </xf>
    <xf numFmtId="0" fontId="80" fillId="16" borderId="3" xfId="0" applyFont="1" applyFill="1" applyBorder="1" applyAlignment="1">
      <alignment horizontal="center"/>
    </xf>
    <xf numFmtId="175" fontId="78" fillId="16" borderId="3" xfId="0" applyNumberFormat="1" applyFont="1" applyFill="1" applyBorder="1" applyAlignment="1">
      <alignment horizontal="center" vertical="center" wrapText="1"/>
    </xf>
    <xf numFmtId="174" fontId="80" fillId="16" borderId="3" xfId="0" applyNumberFormat="1" applyFont="1" applyFill="1" applyBorder="1" applyAlignment="1">
      <alignment horizontal="center" vertical="center" wrapText="1"/>
    </xf>
    <xf numFmtId="0" fontId="78" fillId="16" borderId="4" xfId="0" applyFont="1" applyFill="1" applyBorder="1" applyAlignment="1">
      <alignment horizontal="center" vertical="center" wrapText="1"/>
    </xf>
    <xf numFmtId="0" fontId="78" fillId="16" borderId="6" xfId="0" applyFont="1" applyFill="1" applyBorder="1" applyAlignment="1">
      <alignment horizontal="center" vertical="center" wrapText="1"/>
    </xf>
    <xf numFmtId="0" fontId="80" fillId="16" borderId="3" xfId="0" applyFont="1" applyFill="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4" fontId="78" fillId="16" borderId="3" xfId="0" applyNumberFormat="1" applyFont="1" applyFill="1" applyBorder="1" applyAlignment="1">
      <alignment horizontal="center" vertical="center" wrapText="1"/>
    </xf>
    <xf numFmtId="0" fontId="78" fillId="4"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82" fillId="0" borderId="0" xfId="26" applyFont="1"/>
    <xf numFmtId="49" fontId="33" fillId="0" borderId="25" xfId="26" applyNumberFormat="1" applyFont="1" applyBorder="1" applyAlignment="1">
      <alignment horizontal="center"/>
    </xf>
    <xf numFmtId="0" fontId="33" fillId="0" borderId="28" xfId="26" applyFont="1" applyBorder="1" applyAlignment="1">
      <alignment horizontal="center" vertical="top" wrapText="1"/>
    </xf>
    <xf numFmtId="49" fontId="81" fillId="0" borderId="29" xfId="26" applyNumberFormat="1" applyFont="1" applyBorder="1" applyAlignment="1">
      <alignment horizontal="center" vertical="top"/>
    </xf>
    <xf numFmtId="49" fontId="81" fillId="0" borderId="24" xfId="26" applyNumberFormat="1" applyFont="1" applyBorder="1" applyAlignment="1">
      <alignment horizontal="center" vertical="top"/>
    </xf>
    <xf numFmtId="4" fontId="83" fillId="14" borderId="36" xfId="0" applyNumberFormat="1" applyFont="1" applyFill="1" applyBorder="1" applyAlignment="1">
      <alignment horizontal="right"/>
    </xf>
    <xf numFmtId="4" fontId="83" fillId="14" borderId="8" xfId="0" applyNumberFormat="1" applyFont="1" applyFill="1" applyBorder="1" applyAlignment="1">
      <alignment horizontal="right"/>
    </xf>
    <xf numFmtId="4" fontId="83" fillId="0" borderId="8" xfId="0" applyNumberFormat="1" applyFont="1" applyBorder="1" applyAlignment="1">
      <alignment horizontal="right"/>
    </xf>
    <xf numFmtId="4" fontId="83" fillId="14" borderId="36" xfId="26" applyNumberFormat="1" applyFont="1" applyFill="1" applyBorder="1" applyAlignment="1">
      <alignment horizontal="right"/>
    </xf>
    <xf numFmtId="4" fontId="83" fillId="0" borderId="8" xfId="26" applyNumberFormat="1" applyFont="1" applyBorder="1" applyAlignment="1">
      <alignment horizontal="right"/>
    </xf>
    <xf numFmtId="0" fontId="84" fillId="0" borderId="0" xfId="26" applyFont="1"/>
    <xf numFmtId="0" fontId="84" fillId="0" borderId="0" xfId="26" applyFont="1" applyFill="1"/>
    <xf numFmtId="0" fontId="82" fillId="12" borderId="0" xfId="26" applyFont="1" applyFill="1"/>
    <xf numFmtId="174" fontId="82" fillId="0" borderId="0" xfId="0" applyNumberFormat="1" applyFont="1"/>
    <xf numFmtId="0" fontId="33" fillId="6" borderId="3" xfId="0" applyFont="1" applyFill="1" applyBorder="1" applyAlignment="1">
      <alignment horizontal="center" vertical="center" wrapText="1"/>
    </xf>
    <xf numFmtId="177" fontId="33" fillId="0" borderId="3" xfId="0" applyNumberFormat="1" applyFont="1" applyBorder="1" applyAlignment="1">
      <alignment horizontal="center" vertical="center" wrapText="1"/>
    </xf>
    <xf numFmtId="178" fontId="33" fillId="0" borderId="0" xfId="0" applyNumberFormat="1" applyFont="1" applyAlignment="1">
      <alignment horizontal="center" vertical="center" wrapText="1"/>
    </xf>
    <xf numFmtId="175" fontId="33" fillId="9" borderId="0" xfId="0" applyNumberFormat="1" applyFont="1" applyFill="1" applyAlignment="1">
      <alignment horizontal="center" vertical="center" wrapText="1"/>
    </xf>
    <xf numFmtId="0" fontId="17" fillId="0" borderId="0" xfId="0" applyFont="1" applyAlignment="1">
      <alignment vertical="center"/>
    </xf>
    <xf numFmtId="0" fontId="68" fillId="0" borderId="3" xfId="0" applyFont="1" applyBorder="1" applyAlignment="1">
      <alignment horizontal="center" vertical="center" wrapText="1"/>
    </xf>
    <xf numFmtId="0" fontId="68" fillId="0" borderId="3" xfId="0" applyFont="1" applyBorder="1" applyAlignment="1">
      <alignment vertical="center" wrapText="1"/>
    </xf>
    <xf numFmtId="0" fontId="70" fillId="0" borderId="0" xfId="0" applyFont="1"/>
    <xf numFmtId="1" fontId="17" fillId="0" borderId="3" xfId="0" applyNumberFormat="1" applyFont="1" applyBorder="1" applyAlignment="1">
      <alignment horizontal="center" vertical="center" wrapText="1"/>
    </xf>
    <xf numFmtId="175" fontId="17" fillId="0" borderId="3" xfId="0" applyNumberFormat="1" applyFont="1" applyBorder="1" applyAlignment="1">
      <alignment horizontal="center" vertical="center" wrapText="1"/>
    </xf>
    <xf numFmtId="1" fontId="33" fillId="0" borderId="3" xfId="0" applyNumberFormat="1" applyFont="1" applyBorder="1" applyAlignment="1">
      <alignment horizontal="center" vertical="center" wrapText="1"/>
    </xf>
    <xf numFmtId="2" fontId="17" fillId="0" borderId="3" xfId="0" applyNumberFormat="1" applyFont="1" applyBorder="1" applyAlignment="1">
      <alignment horizontal="center" vertical="center" wrapText="1"/>
    </xf>
    <xf numFmtId="0" fontId="82" fillId="0" borderId="0" xfId="0" applyFont="1" applyFill="1"/>
    <xf numFmtId="177" fontId="33" fillId="0" borderId="3" xfId="0" applyNumberFormat="1" applyFont="1" applyFill="1" applyBorder="1" applyAlignment="1">
      <alignment horizontal="center" vertical="center" wrapText="1"/>
    </xf>
    <xf numFmtId="179" fontId="33" fillId="0" borderId="3" xfId="0" applyNumberFormat="1" applyFont="1" applyFill="1" applyBorder="1" applyAlignment="1">
      <alignment horizontal="center" vertical="center" wrapText="1"/>
    </xf>
    <xf numFmtId="179" fontId="33" fillId="0" borderId="3" xfId="0" applyNumberFormat="1" applyFont="1" applyBorder="1" applyAlignment="1">
      <alignment horizontal="center" vertical="center" wrapText="1"/>
    </xf>
    <xf numFmtId="0" fontId="17" fillId="0" borderId="3" xfId="0" applyFont="1" applyBorder="1" applyAlignment="1">
      <alignment vertical="center"/>
    </xf>
    <xf numFmtId="0" fontId="82" fillId="0" borderId="3" xfId="0" applyFont="1" applyBorder="1" applyAlignment="1">
      <alignment horizontal="right"/>
    </xf>
    <xf numFmtId="0" fontId="82" fillId="0" borderId="3" xfId="0" applyFont="1" applyBorder="1" applyAlignment="1">
      <alignment horizontal="center"/>
    </xf>
    <xf numFmtId="0" fontId="82" fillId="0" borderId="3" xfId="0" applyFont="1" applyFill="1" applyBorder="1" applyAlignment="1">
      <alignment horizontal="center"/>
    </xf>
    <xf numFmtId="4" fontId="33" fillId="0" borderId="3" xfId="0" applyNumberFormat="1" applyFont="1" applyBorder="1" applyAlignment="1">
      <alignment horizontal="center" vertical="center"/>
    </xf>
    <xf numFmtId="0" fontId="82" fillId="0" borderId="0" xfId="0" applyFont="1" applyAlignment="1">
      <alignment horizontal="right"/>
    </xf>
    <xf numFmtId="0" fontId="82" fillId="0" borderId="0" xfId="0" applyFont="1" applyAlignment="1">
      <alignment horizontal="center"/>
    </xf>
    <xf numFmtId="0" fontId="82" fillId="5" borderId="0" xfId="0" applyFont="1" applyFill="1" applyAlignment="1">
      <alignment wrapText="1"/>
    </xf>
    <xf numFmtId="0" fontId="82" fillId="0" borderId="0" xfId="0" applyFont="1" applyAlignment="1">
      <alignment wrapText="1"/>
    </xf>
    <xf numFmtId="0" fontId="82" fillId="0" borderId="2" xfId="0" applyFont="1" applyBorder="1"/>
    <xf numFmtId="0" fontId="82" fillId="0" borderId="2" xfId="0" applyFont="1" applyBorder="1" applyAlignment="1">
      <alignment wrapText="1"/>
    </xf>
    <xf numFmtId="0" fontId="82" fillId="0" borderId="24" xfId="0" applyFont="1" applyFill="1" applyBorder="1"/>
    <xf numFmtId="0" fontId="33" fillId="0" borderId="3" xfId="0" applyFont="1" applyBorder="1" applyAlignment="1">
      <alignment horizontal="left" vertical="center" wrapText="1"/>
    </xf>
    <xf numFmtId="4" fontId="33" fillId="0" borderId="3" xfId="0" applyNumberFormat="1" applyFont="1" applyFill="1" applyBorder="1" applyAlignment="1">
      <alignment horizontal="center" vertical="center"/>
    </xf>
    <xf numFmtId="2" fontId="33" fillId="0" borderId="3" xfId="0" applyNumberFormat="1" applyFont="1" applyFill="1" applyBorder="1" applyAlignment="1">
      <alignment horizontal="center" vertical="center" wrapText="1"/>
    </xf>
    <xf numFmtId="0" fontId="82" fillId="0" borderId="3" xfId="0" applyFont="1" applyBorder="1" applyAlignment="1">
      <alignment horizontal="left"/>
    </xf>
    <xf numFmtId="0" fontId="17" fillId="11" borderId="0" xfId="0" applyFont="1" applyFill="1"/>
    <xf numFmtId="0" fontId="17" fillId="0" borderId="3" xfId="0" applyFont="1" applyBorder="1" applyAlignment="1">
      <alignment horizontal="center"/>
    </xf>
    <xf numFmtId="175" fontId="17" fillId="0" borderId="3" xfId="0" applyNumberFormat="1" applyFont="1" applyBorder="1" applyAlignment="1">
      <alignment horizontal="center"/>
    </xf>
    <xf numFmtId="2" fontId="33" fillId="0" borderId="3" xfId="0" applyNumberFormat="1" applyFont="1" applyBorder="1" applyAlignment="1">
      <alignment horizontal="center" wrapText="1"/>
    </xf>
    <xf numFmtId="0" fontId="17" fillId="0" borderId="3" xfId="0" applyFont="1" applyBorder="1"/>
    <xf numFmtId="0" fontId="17" fillId="0" borderId="3" xfId="0" applyFont="1" applyBorder="1" applyAlignment="1">
      <alignment horizontal="right"/>
    </xf>
    <xf numFmtId="177" fontId="17" fillId="0" borderId="3" xfId="0" applyNumberFormat="1" applyFont="1" applyBorder="1" applyAlignment="1">
      <alignment horizontal="center"/>
    </xf>
    <xf numFmtId="0" fontId="24" fillId="0" borderId="0" xfId="0" applyFont="1"/>
    <xf numFmtId="0" fontId="63"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85" fillId="0" borderId="3" xfId="0" applyFont="1" applyBorder="1" applyAlignment="1">
      <alignment horizontal="right" vertical="center" wrapText="1"/>
    </xf>
    <xf numFmtId="0" fontId="62" fillId="11" borderId="0" xfId="0" applyFont="1" applyFill="1"/>
    <xf numFmtId="0" fontId="62" fillId="0" borderId="0" xfId="0" applyFont="1" applyAlignment="1">
      <alignment vertical="center"/>
    </xf>
    <xf numFmtId="2" fontId="63" fillId="0" borderId="3" xfId="0" applyNumberFormat="1" applyFont="1" applyBorder="1" applyAlignment="1">
      <alignment horizontal="center" wrapText="1"/>
    </xf>
    <xf numFmtId="16" fontId="87" fillId="0" borderId="3" xfId="0" applyNumberFormat="1" applyFont="1" applyBorder="1" applyAlignment="1">
      <alignment horizontal="right" vertical="center" wrapText="1"/>
    </xf>
    <xf numFmtId="0" fontId="87" fillId="0" borderId="3" xfId="0" applyFont="1" applyBorder="1" applyAlignment="1">
      <alignment horizontal="right" vertical="center" wrapText="1"/>
    </xf>
    <xf numFmtId="0" fontId="88" fillId="0" borderId="3" xfId="0" applyFont="1" applyBorder="1" applyAlignment="1">
      <alignment horizontal="right"/>
    </xf>
    <xf numFmtId="175" fontId="88" fillId="0" borderId="3" xfId="0" applyNumberFormat="1" applyFont="1" applyBorder="1" applyAlignment="1">
      <alignment horizontal="right"/>
    </xf>
    <xf numFmtId="0" fontId="89" fillId="0" borderId="3" xfId="0" applyFont="1" applyBorder="1" applyAlignment="1">
      <alignment horizontal="center"/>
    </xf>
    <xf numFmtId="0" fontId="89" fillId="0" borderId="3" xfId="0" applyFont="1" applyBorder="1" applyAlignment="1">
      <alignment horizontal="left"/>
    </xf>
    <xf numFmtId="177" fontId="89" fillId="0" borderId="3" xfId="0" applyNumberFormat="1" applyFont="1" applyBorder="1" applyAlignment="1">
      <alignment horizontal="center"/>
    </xf>
    <xf numFmtId="175" fontId="89" fillId="0" borderId="3" xfId="0" applyNumberFormat="1" applyFont="1" applyBorder="1" applyAlignment="1">
      <alignment horizontal="center"/>
    </xf>
    <xf numFmtId="2" fontId="89" fillId="0" borderId="3" xfId="0" applyNumberFormat="1" applyFont="1" applyBorder="1" applyAlignment="1">
      <alignment horizontal="center"/>
    </xf>
    <xf numFmtId="0" fontId="12" fillId="0" borderId="0" xfId="0" applyFont="1" applyAlignment="1">
      <alignment horizontal="right"/>
    </xf>
    <xf numFmtId="0" fontId="17" fillId="0" borderId="3" xfId="0" applyFont="1" applyBorder="1" applyAlignment="1">
      <alignment horizontal="center" vertical="center"/>
    </xf>
    <xf numFmtId="0" fontId="17" fillId="0" borderId="3" xfId="0" applyFont="1" applyFill="1" applyBorder="1" applyAlignment="1">
      <alignment horizontal="center" vertical="center"/>
    </xf>
    <xf numFmtId="2" fontId="17" fillId="0" borderId="3" xfId="0" applyNumberFormat="1" applyFont="1" applyBorder="1" applyAlignment="1">
      <alignment horizontal="center" vertical="center"/>
    </xf>
    <xf numFmtId="175" fontId="17" fillId="0" borderId="3" xfId="0" applyNumberFormat="1" applyFont="1" applyBorder="1" applyAlignment="1">
      <alignment horizontal="center" vertical="center"/>
    </xf>
    <xf numFmtId="0" fontId="19" fillId="0" borderId="3" xfId="0" applyFont="1" applyBorder="1" applyAlignment="1">
      <alignment horizontal="right" vertical="center"/>
    </xf>
    <xf numFmtId="2" fontId="19" fillId="0" borderId="3" xfId="0" applyNumberFormat="1" applyFont="1" applyFill="1" applyBorder="1" applyAlignment="1">
      <alignment horizontal="right" vertical="center"/>
    </xf>
    <xf numFmtId="175" fontId="19" fillId="0" borderId="3" xfId="0" applyNumberFormat="1" applyFont="1" applyFill="1" applyBorder="1" applyAlignment="1">
      <alignment horizontal="right" vertical="center"/>
    </xf>
    <xf numFmtId="0" fontId="19" fillId="0" borderId="3" xfId="0" applyFont="1" applyFill="1" applyBorder="1" applyAlignment="1">
      <alignment horizontal="right" vertical="center"/>
    </xf>
    <xf numFmtId="2" fontId="19" fillId="0" borderId="3" xfId="0" applyNumberFormat="1" applyFont="1" applyBorder="1" applyAlignment="1">
      <alignment horizontal="right" vertical="center"/>
    </xf>
    <xf numFmtId="175" fontId="19" fillId="0" borderId="3" xfId="0" applyNumberFormat="1" applyFont="1" applyBorder="1" applyAlignment="1">
      <alignment horizontal="right" vertical="center"/>
    </xf>
    <xf numFmtId="0" fontId="19" fillId="0" borderId="0" xfId="0" applyFont="1" applyAlignment="1">
      <alignment horizontal="right"/>
    </xf>
    <xf numFmtId="0" fontId="85" fillId="0" borderId="5" xfId="0" applyFont="1" applyBorder="1" applyAlignment="1">
      <alignment horizontal="right" vertical="center" wrapText="1"/>
    </xf>
    <xf numFmtId="0" fontId="19" fillId="0" borderId="5" xfId="0" applyFont="1" applyBorder="1" applyAlignment="1">
      <alignment horizontal="right" vertical="center"/>
    </xf>
    <xf numFmtId="2" fontId="19" fillId="0" borderId="5" xfId="0" applyNumberFormat="1" applyFont="1" applyFill="1" applyBorder="1" applyAlignment="1">
      <alignment horizontal="right" vertical="center"/>
    </xf>
    <xf numFmtId="175" fontId="19" fillId="0" borderId="5" xfId="0" applyNumberFormat="1" applyFont="1" applyFill="1" applyBorder="1" applyAlignment="1">
      <alignment horizontal="right" vertical="center"/>
    </xf>
    <xf numFmtId="0" fontId="19" fillId="0" borderId="5" xfId="0" applyFont="1" applyFill="1" applyBorder="1" applyAlignment="1">
      <alignment horizontal="right" vertical="center"/>
    </xf>
    <xf numFmtId="2" fontId="19" fillId="0" borderId="5" xfId="0" applyNumberFormat="1" applyFont="1" applyBorder="1" applyAlignment="1">
      <alignment horizontal="right" vertical="center"/>
    </xf>
    <xf numFmtId="175" fontId="19" fillId="0" borderId="5" xfId="0" applyNumberFormat="1" applyFont="1" applyBorder="1" applyAlignment="1">
      <alignment horizontal="right" vertical="center"/>
    </xf>
    <xf numFmtId="0" fontId="33" fillId="0" borderId="42" xfId="0" applyFont="1" applyBorder="1" applyAlignment="1">
      <alignment horizontal="center" vertical="center" wrapText="1"/>
    </xf>
    <xf numFmtId="0" fontId="33" fillId="0" borderId="43" xfId="0" applyFont="1" applyBorder="1" applyAlignment="1">
      <alignment vertical="center" wrapText="1"/>
    </xf>
    <xf numFmtId="0" fontId="17" fillId="0" borderId="43" xfId="0" applyFont="1" applyBorder="1" applyAlignment="1">
      <alignment horizontal="center" vertical="center"/>
    </xf>
    <xf numFmtId="2" fontId="17" fillId="0" borderId="43" xfId="0" applyNumberFormat="1" applyFont="1" applyFill="1" applyBorder="1" applyAlignment="1">
      <alignment horizontal="center" vertical="center"/>
    </xf>
    <xf numFmtId="175" fontId="17" fillId="0" borderId="43" xfId="0" applyNumberFormat="1" applyFont="1" applyFill="1" applyBorder="1" applyAlignment="1">
      <alignment horizontal="center" vertical="center"/>
    </xf>
    <xf numFmtId="0" fontId="17" fillId="0" borderId="43" xfId="0" applyFont="1" applyFill="1" applyBorder="1" applyAlignment="1">
      <alignment horizontal="center" vertical="center"/>
    </xf>
    <xf numFmtId="2" fontId="17" fillId="0" borderId="43" xfId="0" applyNumberFormat="1" applyFont="1" applyBorder="1" applyAlignment="1">
      <alignment horizontal="center" vertical="center"/>
    </xf>
    <xf numFmtId="175" fontId="17" fillId="0" borderId="43" xfId="0" applyNumberFormat="1" applyFont="1" applyBorder="1" applyAlignment="1">
      <alignment horizontal="center" vertical="center"/>
    </xf>
    <xf numFmtId="175" fontId="17" fillId="0" borderId="44" xfId="0" applyNumberFormat="1" applyFont="1" applyBorder="1" applyAlignment="1">
      <alignment horizontal="center" vertical="center"/>
    </xf>
    <xf numFmtId="0" fontId="85" fillId="0" borderId="4" xfId="0" applyFont="1" applyBorder="1" applyAlignment="1">
      <alignment horizontal="right" vertical="center" wrapText="1"/>
    </xf>
    <xf numFmtId="0" fontId="19" fillId="0" borderId="4" xfId="0" applyFont="1" applyBorder="1" applyAlignment="1">
      <alignment horizontal="right" vertical="center"/>
    </xf>
    <xf numFmtId="2" fontId="19" fillId="0" borderId="4" xfId="0" applyNumberFormat="1" applyFont="1" applyFill="1" applyBorder="1" applyAlignment="1">
      <alignment horizontal="right" vertical="center"/>
    </xf>
    <xf numFmtId="175" fontId="19" fillId="0" borderId="4" xfId="0" applyNumberFormat="1" applyFont="1" applyFill="1" applyBorder="1" applyAlignment="1">
      <alignment horizontal="right" vertical="center"/>
    </xf>
    <xf numFmtId="0" fontId="19" fillId="0" borderId="4" xfId="0" applyFont="1" applyFill="1" applyBorder="1" applyAlignment="1">
      <alignment horizontal="right" vertical="center"/>
    </xf>
    <xf numFmtId="2" fontId="19" fillId="0" borderId="4" xfId="0" applyNumberFormat="1" applyFont="1" applyBorder="1" applyAlignment="1">
      <alignment horizontal="right" vertical="center"/>
    </xf>
    <xf numFmtId="175" fontId="19" fillId="0" borderId="4" xfId="0" applyNumberFormat="1" applyFont="1" applyBorder="1" applyAlignment="1">
      <alignment horizontal="right" vertical="center"/>
    </xf>
    <xf numFmtId="0" fontId="68" fillId="4" borderId="4" xfId="0" applyFont="1" applyFill="1" applyBorder="1" applyAlignment="1">
      <alignment horizontal="center" vertical="center" wrapText="1"/>
    </xf>
    <xf numFmtId="0" fontId="68" fillId="4" borderId="4" xfId="0" applyFont="1" applyFill="1" applyBorder="1" applyAlignment="1">
      <alignment vertical="center" wrapText="1"/>
    </xf>
    <xf numFmtId="0" fontId="86" fillId="4" borderId="4" xfId="0" applyFont="1" applyFill="1" applyBorder="1" applyAlignment="1">
      <alignment horizontal="center" vertical="center"/>
    </xf>
    <xf numFmtId="2" fontId="86" fillId="4" borderId="4" xfId="0" applyNumberFormat="1" applyFont="1" applyFill="1" applyBorder="1" applyAlignment="1">
      <alignment horizontal="center" vertical="center"/>
    </xf>
    <xf numFmtId="175" fontId="86" fillId="4" borderId="4" xfId="0" applyNumberFormat="1" applyFont="1" applyFill="1" applyBorder="1" applyAlignment="1">
      <alignment horizontal="center" vertical="center"/>
    </xf>
    <xf numFmtId="0" fontId="17" fillId="0" borderId="5" xfId="0" applyFont="1" applyFill="1" applyBorder="1" applyAlignment="1">
      <alignment horizontal="center" vertical="center"/>
    </xf>
    <xf numFmtId="2" fontId="17" fillId="0" borderId="5" xfId="0" applyNumberFormat="1" applyFont="1" applyBorder="1" applyAlignment="1">
      <alignment horizontal="center" vertical="center"/>
    </xf>
    <xf numFmtId="175" fontId="17" fillId="0" borderId="5" xfId="0" applyNumberFormat="1" applyFont="1" applyBorder="1" applyAlignment="1">
      <alignment horizontal="center" vertical="center"/>
    </xf>
    <xf numFmtId="0" fontId="17" fillId="0" borderId="5" xfId="0" applyFont="1" applyBorder="1" applyAlignment="1">
      <alignment horizontal="center" vertical="center"/>
    </xf>
    <xf numFmtId="0" fontId="55" fillId="0" borderId="4" xfId="0" applyFont="1" applyFill="1" applyBorder="1" applyAlignment="1">
      <alignment horizontal="center" vertical="center"/>
    </xf>
    <xf numFmtId="2" fontId="55" fillId="0" borderId="4" xfId="0" applyNumberFormat="1" applyFont="1" applyBorder="1" applyAlignment="1">
      <alignment horizontal="center" vertical="center"/>
    </xf>
    <xf numFmtId="175" fontId="55" fillId="0" borderId="4" xfId="0" applyNumberFormat="1" applyFont="1" applyBorder="1" applyAlignment="1">
      <alignment horizontal="center" vertical="center"/>
    </xf>
    <xf numFmtId="0" fontId="55" fillId="0" borderId="4" xfId="0" applyFont="1" applyBorder="1" applyAlignment="1">
      <alignment horizontal="center" vertical="center"/>
    </xf>
    <xf numFmtId="0" fontId="76" fillId="0" borderId="5" xfId="0" applyFont="1" applyBorder="1" applyAlignment="1">
      <alignment horizontal="center" vertical="center" wrapText="1"/>
    </xf>
    <xf numFmtId="0" fontId="33" fillId="0" borderId="5" xfId="0" applyFont="1" applyBorder="1" applyAlignment="1">
      <alignment vertical="center" wrapText="1"/>
    </xf>
    <xf numFmtId="0" fontId="55" fillId="0" borderId="5" xfId="0" applyFont="1" applyBorder="1" applyAlignment="1">
      <alignment horizontal="center" vertical="center"/>
    </xf>
    <xf numFmtId="2" fontId="55" fillId="0" borderId="5" xfId="0" applyNumberFormat="1" applyFont="1" applyFill="1" applyBorder="1" applyAlignment="1">
      <alignment horizontal="center" vertical="center"/>
    </xf>
    <xf numFmtId="175" fontId="55" fillId="0" borderId="5" xfId="0" applyNumberFormat="1" applyFont="1" applyFill="1" applyBorder="1" applyAlignment="1">
      <alignment horizontal="center" vertical="center"/>
    </xf>
    <xf numFmtId="0" fontId="55" fillId="0" borderId="5" xfId="0" applyFont="1" applyFill="1" applyBorder="1" applyAlignment="1">
      <alignment horizontal="center" vertical="center"/>
    </xf>
    <xf numFmtId="2" fontId="55" fillId="0" borderId="5" xfId="0" applyNumberFormat="1" applyFont="1" applyBorder="1" applyAlignment="1">
      <alignment horizontal="center" vertical="center"/>
    </xf>
    <xf numFmtId="175" fontId="55" fillId="0" borderId="5" xfId="0" applyNumberFormat="1" applyFont="1" applyBorder="1" applyAlignment="1">
      <alignment horizontal="center" vertical="center"/>
    </xf>
    <xf numFmtId="0" fontId="55" fillId="0" borderId="43" xfId="0" applyFont="1" applyFill="1" applyBorder="1" applyAlignment="1">
      <alignment horizontal="center" vertical="center"/>
    </xf>
    <xf numFmtId="2" fontId="55" fillId="0" borderId="43" xfId="0" applyNumberFormat="1" applyFont="1" applyBorder="1" applyAlignment="1">
      <alignment horizontal="center" vertical="center"/>
    </xf>
    <xf numFmtId="175" fontId="55" fillId="0" borderId="43" xfId="0" applyNumberFormat="1" applyFont="1" applyBorder="1" applyAlignment="1">
      <alignment horizontal="center" vertical="center"/>
    </xf>
    <xf numFmtId="0" fontId="55" fillId="0" borderId="43" xfId="0" applyFont="1" applyBorder="1" applyAlignment="1">
      <alignment horizontal="center" vertical="center"/>
    </xf>
    <xf numFmtId="175" fontId="55" fillId="0" borderId="44" xfId="0" applyNumberFormat="1" applyFont="1" applyBorder="1" applyAlignment="1">
      <alignment horizontal="center" vertical="center"/>
    </xf>
    <xf numFmtId="0" fontId="17" fillId="0" borderId="4" xfId="0" applyFont="1" applyFill="1" applyBorder="1" applyAlignment="1">
      <alignment horizontal="center" vertical="center"/>
    </xf>
    <xf numFmtId="2" fontId="17" fillId="0" borderId="4" xfId="0" applyNumberFormat="1" applyFont="1" applyBorder="1" applyAlignment="1">
      <alignment horizontal="center" vertical="center"/>
    </xf>
    <xf numFmtId="175"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68"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0" fillId="0" borderId="0" xfId="0" applyFont="1" applyAlignment="1">
      <alignment horizontal="center" vertical="center"/>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1" fillId="0" borderId="0" xfId="0" applyFont="1"/>
    <xf numFmtId="0" fontId="91" fillId="5" borderId="0" xfId="0" applyFont="1" applyFill="1"/>
    <xf numFmtId="0" fontId="33" fillId="0" borderId="3" xfId="0" applyFont="1" applyBorder="1" applyAlignment="1">
      <alignment horizontal="right" vertical="center" wrapText="1"/>
    </xf>
    <xf numFmtId="175" fontId="68" fillId="0" borderId="3" xfId="0" applyNumberFormat="1" applyFont="1" applyBorder="1" applyAlignment="1">
      <alignment horizontal="center" vertical="center" wrapText="1"/>
    </xf>
    <xf numFmtId="175" fontId="33" fillId="0" borderId="3" xfId="0" applyNumberFormat="1" applyFont="1" applyBorder="1" applyAlignment="1">
      <alignment vertical="center" wrapText="1"/>
    </xf>
    <xf numFmtId="175" fontId="68" fillId="0" borderId="3" xfId="0" applyNumberFormat="1" applyFont="1" applyBorder="1" applyAlignment="1">
      <alignment vertical="center" wrapText="1"/>
    </xf>
    <xf numFmtId="174" fontId="33" fillId="0" borderId="3" xfId="0" applyNumberFormat="1" applyFont="1" applyBorder="1" applyAlignment="1">
      <alignment horizontal="center" vertical="center" wrapText="1"/>
    </xf>
    <xf numFmtId="174" fontId="91" fillId="0" borderId="0" xfId="0" applyNumberFormat="1" applyFont="1"/>
    <xf numFmtId="0" fontId="91" fillId="9" borderId="0" xfId="0" applyFont="1" applyFill="1"/>
    <xf numFmtId="175" fontId="91" fillId="0" borderId="0" xfId="0" applyNumberFormat="1" applyFont="1"/>
    <xf numFmtId="175" fontId="33" fillId="0" borderId="0" xfId="0" applyNumberFormat="1" applyFont="1" applyAlignment="1">
      <alignment vertical="center" wrapText="1"/>
    </xf>
    <xf numFmtId="4" fontId="91" fillId="0" borderId="0" xfId="0" applyNumberFormat="1" applyFont="1"/>
    <xf numFmtId="0" fontId="33" fillId="0" borderId="3" xfId="0" applyFont="1" applyFill="1" applyBorder="1" applyAlignment="1">
      <alignment horizontal="right" vertical="center" wrapText="1"/>
    </xf>
    <xf numFmtId="0" fontId="91" fillId="0" borderId="0" xfId="0" applyFont="1" applyAlignment="1">
      <alignment vertical="center"/>
    </xf>
    <xf numFmtId="0" fontId="33" fillId="0" borderId="0" xfId="0" applyFont="1" applyBorder="1" applyAlignment="1">
      <alignment vertical="center" wrapText="1"/>
    </xf>
    <xf numFmtId="0" fontId="33" fillId="0" borderId="0" xfId="0" applyFont="1" applyBorder="1" applyAlignment="1">
      <alignment horizontal="right" vertical="center" wrapText="1"/>
    </xf>
    <xf numFmtId="0" fontId="33" fillId="0" borderId="0" xfId="0" applyFont="1" applyBorder="1" applyAlignment="1">
      <alignment horizontal="center" vertical="center" wrapText="1"/>
    </xf>
    <xf numFmtId="175" fontId="33" fillId="0" borderId="0" xfId="0" applyNumberFormat="1" applyFont="1" applyBorder="1" applyAlignment="1">
      <alignment vertical="center" wrapText="1"/>
    </xf>
    <xf numFmtId="0" fontId="92" fillId="0" borderId="0" xfId="0" applyFont="1"/>
    <xf numFmtId="0" fontId="93" fillId="0" borderId="0" xfId="0"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175" fontId="0" fillId="0" borderId="0" xfId="0" applyNumberFormat="1"/>
    <xf numFmtId="0" fontId="86" fillId="0" borderId="3" xfId="0" applyFont="1" applyBorder="1" applyAlignment="1">
      <alignment vertical="center"/>
    </xf>
    <xf numFmtId="175" fontId="68" fillId="0" borderId="3" xfId="0" applyNumberFormat="1" applyFont="1" applyFill="1" applyBorder="1" applyAlignment="1">
      <alignment horizontal="center" vertical="center" wrapText="1"/>
    </xf>
    <xf numFmtId="4" fontId="68" fillId="0" borderId="3" xfId="0" applyNumberFormat="1" applyFont="1" applyBorder="1" applyAlignment="1">
      <alignment horizontal="center" vertical="center" wrapText="1"/>
    </xf>
    <xf numFmtId="0" fontId="86" fillId="0" borderId="3" xfId="0" applyFont="1" applyBorder="1" applyAlignment="1">
      <alignment horizontal="right"/>
    </xf>
    <xf numFmtId="0" fontId="86" fillId="0" borderId="3" xfId="0" applyFont="1" applyBorder="1" applyAlignment="1">
      <alignment horizontal="center"/>
    </xf>
    <xf numFmtId="0" fontId="86" fillId="0" borderId="3" xfId="0" applyFont="1" applyFill="1" applyBorder="1" applyAlignment="1">
      <alignment horizontal="center"/>
    </xf>
    <xf numFmtId="0" fontId="86" fillId="0" borderId="0" xfId="0" applyFont="1" applyFill="1"/>
    <xf numFmtId="0" fontId="94" fillId="0" borderId="0" xfId="0" applyFont="1"/>
    <xf numFmtId="175" fontId="94" fillId="0" borderId="0" xfId="0" applyNumberFormat="1" applyFont="1" applyAlignment="1">
      <alignment horizontal="left"/>
    </xf>
    <xf numFmtId="4" fontId="94" fillId="0" borderId="0" xfId="0" applyNumberFormat="1" applyFont="1" applyAlignment="1">
      <alignment horizontal="left"/>
    </xf>
    <xf numFmtId="16" fontId="85" fillId="0" borderId="3" xfId="0" applyNumberFormat="1" applyFont="1" applyBorder="1" applyAlignment="1">
      <alignment horizontal="right" vertical="center" wrapText="1"/>
    </xf>
    <xf numFmtId="0" fontId="19" fillId="0" borderId="3" xfId="0" applyFont="1" applyBorder="1" applyAlignment="1">
      <alignment horizontal="right"/>
    </xf>
    <xf numFmtId="175" fontId="19" fillId="0" borderId="3" xfId="0" applyNumberFormat="1" applyFont="1" applyBorder="1" applyAlignment="1">
      <alignment horizontal="right"/>
    </xf>
    <xf numFmtId="177" fontId="86" fillId="0" borderId="3" xfId="0" applyNumberFormat="1" applyFont="1" applyBorder="1" applyAlignment="1">
      <alignment horizontal="center"/>
    </xf>
    <xf numFmtId="175" fontId="86" fillId="0" borderId="3" xfId="0" applyNumberFormat="1" applyFont="1" applyBorder="1" applyAlignment="1">
      <alignment horizontal="center"/>
    </xf>
    <xf numFmtId="4" fontId="86" fillId="0" borderId="3" xfId="0" applyNumberFormat="1" applyFont="1" applyBorder="1" applyAlignment="1">
      <alignment horizontal="center"/>
    </xf>
    <xf numFmtId="2" fontId="17" fillId="0" borderId="3" xfId="0" applyNumberFormat="1" applyFont="1" applyFill="1" applyBorder="1" applyAlignment="1">
      <alignment horizontal="center" vertical="center"/>
    </xf>
    <xf numFmtId="175" fontId="17" fillId="0" borderId="3" xfId="0" applyNumberFormat="1" applyFont="1" applyFill="1" applyBorder="1" applyAlignment="1">
      <alignment horizontal="center" vertical="center"/>
    </xf>
    <xf numFmtId="0" fontId="17" fillId="0" borderId="3" xfId="0" applyFont="1" applyFill="1" applyBorder="1" applyAlignment="1">
      <alignment horizontal="center"/>
    </xf>
    <xf numFmtId="4" fontId="17" fillId="0" borderId="3" xfId="0" applyNumberFormat="1" applyFont="1" applyBorder="1" applyAlignment="1">
      <alignment horizontal="center"/>
    </xf>
    <xf numFmtId="0" fontId="85" fillId="0" borderId="6" xfId="0" applyFont="1" applyBorder="1" applyAlignment="1">
      <alignment horizontal="right" vertical="center" wrapText="1"/>
    </xf>
    <xf numFmtId="0" fontId="19" fillId="0" borderId="6" xfId="0" applyFont="1" applyBorder="1" applyAlignment="1">
      <alignment horizontal="right" vertical="center"/>
    </xf>
    <xf numFmtId="2" fontId="19" fillId="0" borderId="6" xfId="0" applyNumberFormat="1" applyFont="1" applyFill="1" applyBorder="1" applyAlignment="1">
      <alignment horizontal="right" vertical="center"/>
    </xf>
    <xf numFmtId="175" fontId="19" fillId="0" borderId="6" xfId="0" applyNumberFormat="1" applyFont="1" applyFill="1" applyBorder="1" applyAlignment="1">
      <alignment horizontal="right" vertical="center"/>
    </xf>
    <xf numFmtId="2" fontId="19" fillId="0" borderId="6" xfId="0" applyNumberFormat="1" applyFont="1" applyBorder="1" applyAlignment="1">
      <alignment horizontal="right" vertical="center"/>
    </xf>
    <xf numFmtId="175" fontId="19" fillId="0" borderId="6" xfId="0" applyNumberFormat="1" applyFont="1" applyBorder="1" applyAlignment="1">
      <alignment horizontal="right" vertical="center"/>
    </xf>
    <xf numFmtId="0" fontId="17" fillId="0" borderId="6" xfId="0" applyFont="1" applyBorder="1" applyAlignment="1">
      <alignment horizontal="center" vertical="center"/>
    </xf>
    <xf numFmtId="0" fontId="68" fillId="4" borderId="49" xfId="0" applyFont="1" applyFill="1" applyBorder="1" applyAlignment="1">
      <alignment horizontal="center" vertical="center" wrapText="1"/>
    </xf>
    <xf numFmtId="175" fontId="86" fillId="4" borderId="50" xfId="0" applyNumberFormat="1" applyFont="1" applyFill="1" applyBorder="1" applyAlignment="1">
      <alignment horizontal="center" vertical="center"/>
    </xf>
    <xf numFmtId="0" fontId="85" fillId="0" borderId="51" xfId="0" applyFont="1" applyBorder="1" applyAlignment="1">
      <alignment horizontal="right" vertical="center" wrapText="1"/>
    </xf>
    <xf numFmtId="175" fontId="19" fillId="0" borderId="52" xfId="0" applyNumberFormat="1" applyFont="1" applyBorder="1" applyAlignment="1">
      <alignment horizontal="right" vertical="center"/>
    </xf>
    <xf numFmtId="0" fontId="85" fillId="0" borderId="47" xfId="0" applyFont="1" applyBorder="1" applyAlignment="1">
      <alignment horizontal="right" vertical="center" wrapText="1"/>
    </xf>
    <xf numFmtId="175" fontId="19" fillId="0" borderId="48" xfId="0" applyNumberFormat="1" applyFont="1" applyBorder="1" applyAlignment="1">
      <alignment horizontal="right" vertical="center"/>
    </xf>
    <xf numFmtId="0" fontId="85" fillId="0" borderId="49" xfId="0" applyFont="1" applyBorder="1" applyAlignment="1">
      <alignment horizontal="right" vertical="center" wrapText="1"/>
    </xf>
    <xf numFmtId="175" fontId="19" fillId="0" borderId="50" xfId="0" applyNumberFormat="1" applyFont="1" applyBorder="1" applyAlignment="1">
      <alignment horizontal="right" vertical="center"/>
    </xf>
    <xf numFmtId="0" fontId="85" fillId="0" borderId="53" xfId="0" applyFont="1" applyBorder="1" applyAlignment="1">
      <alignment horizontal="right" vertical="center" wrapText="1"/>
    </xf>
    <xf numFmtId="175" fontId="19" fillId="0" borderId="54" xfId="0" applyNumberFormat="1" applyFont="1" applyBorder="1" applyAlignment="1">
      <alignment horizontal="right" vertical="center"/>
    </xf>
    <xf numFmtId="175" fontId="17" fillId="0" borderId="52" xfId="0" applyNumberFormat="1" applyFont="1" applyBorder="1" applyAlignment="1">
      <alignment horizontal="center" vertical="center"/>
    </xf>
    <xf numFmtId="175" fontId="17" fillId="0" borderId="48" xfId="0" applyNumberFormat="1" applyFont="1" applyBorder="1" applyAlignment="1">
      <alignment horizontal="center" vertical="center"/>
    </xf>
    <xf numFmtId="175" fontId="17" fillId="0" borderId="50" xfId="0" applyNumberFormat="1" applyFont="1" applyBorder="1" applyAlignment="1">
      <alignment horizontal="center" vertical="center"/>
    </xf>
    <xf numFmtId="14" fontId="33" fillId="0" borderId="53" xfId="0" applyNumberFormat="1" applyFont="1" applyBorder="1" applyAlignment="1">
      <alignment horizontal="center" vertical="center" wrapText="1"/>
    </xf>
    <xf numFmtId="0" fontId="17" fillId="0" borderId="6" xfId="0" applyFont="1" applyFill="1" applyBorder="1" applyAlignment="1">
      <alignment horizontal="center" vertical="center"/>
    </xf>
    <xf numFmtId="2" fontId="17" fillId="0" borderId="6" xfId="0" applyNumberFormat="1" applyFont="1" applyBorder="1" applyAlignment="1">
      <alignment horizontal="center" vertical="center"/>
    </xf>
    <xf numFmtId="175" fontId="17" fillId="0" borderId="6" xfId="0" applyNumberFormat="1" applyFont="1" applyBorder="1" applyAlignment="1">
      <alignment horizontal="center" vertical="center"/>
    </xf>
    <xf numFmtId="175" fontId="17" fillId="0" borderId="54" xfId="0" applyNumberFormat="1" applyFont="1" applyBorder="1" applyAlignment="1">
      <alignment horizontal="center" vertical="center"/>
    </xf>
    <xf numFmtId="0" fontId="17" fillId="0" borderId="55" xfId="0" applyFont="1" applyBorder="1" applyAlignment="1">
      <alignment horizontal="center"/>
    </xf>
    <xf numFmtId="0" fontId="17" fillId="0" borderId="32" xfId="0" applyFont="1" applyBorder="1" applyAlignment="1">
      <alignment horizontal="right"/>
    </xf>
    <xf numFmtId="0" fontId="17" fillId="0" borderId="32" xfId="0" applyFont="1" applyBorder="1" applyAlignment="1">
      <alignment horizontal="center"/>
    </xf>
    <xf numFmtId="0" fontId="17" fillId="0" borderId="32" xfId="0" applyFont="1" applyFill="1" applyBorder="1" applyAlignment="1">
      <alignment horizontal="center"/>
    </xf>
    <xf numFmtId="175" fontId="17" fillId="0" borderId="32" xfId="0" applyNumberFormat="1" applyFont="1" applyFill="1" applyBorder="1"/>
    <xf numFmtId="175" fontId="17" fillId="0" borderId="56" xfId="0" applyNumberFormat="1" applyFont="1" applyFill="1" applyBorder="1"/>
    <xf numFmtId="0" fontId="17" fillId="18" borderId="0" xfId="0" applyFont="1" applyFill="1" applyAlignment="1"/>
    <xf numFmtId="0" fontId="17" fillId="18" borderId="0" xfId="0" applyFont="1" applyFill="1"/>
    <xf numFmtId="0" fontId="86" fillId="0" borderId="3" xfId="0" applyFont="1" applyBorder="1"/>
    <xf numFmtId="175" fontId="17" fillId="0" borderId="3" xfId="0" applyNumberFormat="1" applyFont="1" applyFill="1" applyBorder="1" applyAlignment="1">
      <alignment horizontal="center"/>
    </xf>
    <xf numFmtId="2" fontId="17" fillId="0" borderId="0" xfId="0" applyNumberFormat="1" applyFont="1"/>
    <xf numFmtId="0" fontId="17" fillId="17" borderId="0" xfId="0" applyFont="1" applyFill="1"/>
    <xf numFmtId="0" fontId="17" fillId="0" borderId="0" xfId="0" applyFont="1" applyBorder="1" applyAlignment="1">
      <alignment horizontal="right"/>
    </xf>
    <xf numFmtId="177" fontId="17" fillId="0" borderId="0" xfId="0" applyNumberFormat="1" applyFont="1" applyBorder="1" applyAlignment="1">
      <alignment horizontal="center"/>
    </xf>
    <xf numFmtId="0" fontId="17" fillId="0" borderId="0" xfId="0" applyFont="1" applyFill="1" applyBorder="1" applyAlignment="1">
      <alignment horizontal="center"/>
    </xf>
    <xf numFmtId="175" fontId="17" fillId="0" borderId="0" xfId="0" applyNumberFormat="1" applyFont="1" applyFill="1" applyBorder="1" applyAlignment="1">
      <alignment horizontal="center"/>
    </xf>
    <xf numFmtId="0" fontId="17" fillId="0" borderId="0" xfId="0" applyFont="1" applyBorder="1" applyAlignment="1">
      <alignment horizontal="center"/>
    </xf>
    <xf numFmtId="0" fontId="86" fillId="18" borderId="0" xfId="0" applyFont="1" applyFill="1"/>
    <xf numFmtId="0" fontId="86" fillId="0" borderId="0" xfId="0" applyFont="1"/>
    <xf numFmtId="0" fontId="17" fillId="0" borderId="0" xfId="0" applyFont="1" applyAlignment="1">
      <alignment horizontal="right"/>
    </xf>
    <xf numFmtId="0" fontId="17" fillId="0" borderId="0" xfId="0" applyFont="1" applyAlignment="1">
      <alignment horizontal="center"/>
    </xf>
    <xf numFmtId="175" fontId="17" fillId="0" borderId="0" xfId="0" applyNumberFormat="1" applyFont="1"/>
    <xf numFmtId="4" fontId="17" fillId="0" borderId="0" xfId="0" applyNumberFormat="1" applyFont="1" applyAlignment="1">
      <alignment horizontal="center"/>
    </xf>
    <xf numFmtId="4" fontId="17" fillId="0" borderId="0" xfId="0" applyNumberFormat="1" applyFont="1"/>
    <xf numFmtId="0" fontId="95" fillId="0" borderId="3" xfId="0" applyFont="1" applyBorder="1" applyAlignment="1">
      <alignment horizontal="right" vertical="center" wrapText="1"/>
    </xf>
    <xf numFmtId="175" fontId="95" fillId="0" borderId="3" xfId="0" applyNumberFormat="1" applyFont="1" applyBorder="1" applyAlignment="1">
      <alignment horizontal="right" vertical="center" wrapText="1"/>
    </xf>
    <xf numFmtId="0" fontId="95" fillId="0" borderId="3" xfId="0" applyFont="1" applyFill="1" applyBorder="1" applyAlignment="1">
      <alignment horizontal="right" vertical="center" wrapText="1"/>
    </xf>
    <xf numFmtId="175" fontId="95" fillId="0" borderId="3" xfId="0" applyNumberFormat="1" applyFont="1" applyFill="1" applyBorder="1" applyAlignment="1">
      <alignment horizontal="right" vertical="center" wrapText="1"/>
    </xf>
    <xf numFmtId="0" fontId="95" fillId="0" borderId="0" xfId="0" applyFont="1" applyAlignment="1">
      <alignment horizontal="right"/>
    </xf>
    <xf numFmtId="0" fontId="34" fillId="0" borderId="3" xfId="0" applyFont="1" applyBorder="1" applyAlignment="1">
      <alignment horizontal="center"/>
    </xf>
    <xf numFmtId="175" fontId="34" fillId="0" borderId="3" xfId="0" applyNumberFormat="1"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76" fillId="0" borderId="3" xfId="0" applyFont="1" applyBorder="1" applyAlignment="1">
      <alignment horizontal="center" vertical="center" wrapText="1"/>
    </xf>
    <xf numFmtId="0" fontId="45"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96" fillId="0" borderId="0" xfId="0" applyFont="1"/>
    <xf numFmtId="0" fontId="86" fillId="0" borderId="3" xfId="0" applyFont="1" applyBorder="1" applyAlignment="1">
      <alignment horizontal="center" vertical="center"/>
    </xf>
    <xf numFmtId="174" fontId="86" fillId="0" borderId="3" xfId="0" applyNumberFormat="1" applyFont="1" applyBorder="1" applyAlignment="1">
      <alignment horizontal="center"/>
    </xf>
    <xf numFmtId="2" fontId="86" fillId="0" borderId="3" xfId="0" applyNumberFormat="1" applyFont="1" applyFill="1" applyBorder="1" applyAlignment="1">
      <alignment horizontal="center"/>
    </xf>
    <xf numFmtId="175" fontId="68" fillId="0" borderId="3" xfId="0" applyNumberFormat="1" applyFont="1" applyFill="1" applyBorder="1" applyAlignment="1">
      <alignment horizontal="center"/>
    </xf>
    <xf numFmtId="175" fontId="68" fillId="0" borderId="3" xfId="0" applyNumberFormat="1" applyFont="1" applyBorder="1"/>
    <xf numFmtId="175" fontId="33" fillId="0" borderId="3" xfId="0" applyNumberFormat="1" applyFont="1" applyBorder="1" applyAlignment="1">
      <alignment horizontal="center"/>
    </xf>
    <xf numFmtId="174" fontId="33" fillId="0" borderId="3" xfId="0" applyNumberFormat="1" applyFont="1" applyFill="1" applyBorder="1" applyAlignment="1">
      <alignment horizontal="center" vertical="center" wrapText="1"/>
    </xf>
    <xf numFmtId="0" fontId="86" fillId="0" borderId="3" xfId="0" applyFont="1" applyFill="1" applyBorder="1" applyAlignment="1">
      <alignment vertical="center"/>
    </xf>
    <xf numFmtId="0" fontId="86" fillId="0" borderId="3" xfId="0" applyFont="1" applyFill="1" applyBorder="1" applyAlignment="1">
      <alignment horizontal="right"/>
    </xf>
    <xf numFmtId="0" fontId="68" fillId="0" borderId="3" xfId="0" applyFont="1" applyFill="1" applyBorder="1" applyAlignment="1">
      <alignment horizontal="center"/>
    </xf>
    <xf numFmtId="175" fontId="68" fillId="0" borderId="0" xfId="0" applyNumberFormat="1" applyFont="1"/>
    <xf numFmtId="175" fontId="33" fillId="8" borderId="3" xfId="0" applyNumberFormat="1" applyFont="1" applyFill="1" applyBorder="1" applyAlignment="1">
      <alignment horizontal="center" vertical="center" wrapText="1"/>
    </xf>
    <xf numFmtId="0" fontId="33" fillId="0" borderId="3" xfId="0" applyFont="1" applyBorder="1" applyAlignment="1">
      <alignment horizontal="center"/>
    </xf>
    <xf numFmtId="175" fontId="33" fillId="0" borderId="3" xfId="0" applyNumberFormat="1" applyFont="1" applyFill="1" applyBorder="1" applyAlignment="1">
      <alignment horizontal="center"/>
    </xf>
    <xf numFmtId="0" fontId="33" fillId="0" borderId="3" xfId="0" applyFont="1" applyFill="1" applyBorder="1" applyAlignment="1">
      <alignment horizontal="center"/>
    </xf>
    <xf numFmtId="1" fontId="33" fillId="0" borderId="3" xfId="0" applyNumberFormat="1" applyFont="1" applyFill="1" applyBorder="1" applyAlignment="1">
      <alignment horizontal="center" vertical="center" wrapText="1"/>
    </xf>
    <xf numFmtId="0" fontId="17" fillId="0" borderId="3" xfId="0" applyFont="1" applyFill="1" applyBorder="1" applyAlignment="1">
      <alignment vertical="center"/>
    </xf>
    <xf numFmtId="0" fontId="17" fillId="0" borderId="3" xfId="0" applyFont="1" applyFill="1" applyBorder="1" applyAlignment="1">
      <alignment horizontal="right"/>
    </xf>
    <xf numFmtId="0" fontId="33" fillId="5" borderId="0" xfId="0" applyFont="1" applyFill="1" applyAlignment="1">
      <alignment vertical="center" wrapText="1"/>
    </xf>
    <xf numFmtId="0" fontId="33" fillId="5" borderId="0" xfId="0" applyFont="1" applyFill="1" applyAlignment="1">
      <alignment horizontal="center" vertical="center" wrapText="1"/>
    </xf>
    <xf numFmtId="175" fontId="33" fillId="5" borderId="0" xfId="0" applyNumberFormat="1" applyFont="1" applyFill="1" applyAlignment="1">
      <alignment horizontal="center" vertical="center" wrapText="1"/>
    </xf>
    <xf numFmtId="175" fontId="33" fillId="0" borderId="0" xfId="0" applyNumberFormat="1" applyFont="1"/>
    <xf numFmtId="0" fontId="97" fillId="0" borderId="0" xfId="0" applyFont="1"/>
    <xf numFmtId="0" fontId="17" fillId="0" borderId="0" xfId="0" applyFont="1" applyFill="1"/>
    <xf numFmtId="175" fontId="33" fillId="0" borderId="3" xfId="0" applyNumberFormat="1" applyFont="1" applyBorder="1"/>
    <xf numFmtId="177" fontId="33" fillId="0" borderId="3" xfId="0" applyNumberFormat="1" applyFont="1" applyBorder="1" applyAlignment="1">
      <alignment horizontal="center"/>
    </xf>
    <xf numFmtId="0" fontId="33" fillId="0" borderId="3" xfId="0" applyFont="1" applyBorder="1" applyAlignment="1">
      <alignment horizontal="center" wrapText="1"/>
    </xf>
    <xf numFmtId="174" fontId="33" fillId="0" borderId="3" xfId="0" applyNumberFormat="1" applyFont="1" applyBorder="1" applyAlignment="1">
      <alignment horizontal="center" wrapText="1"/>
    </xf>
    <xf numFmtId="0" fontId="67" fillId="9" borderId="0" xfId="0" applyFont="1" applyFill="1"/>
    <xf numFmtId="0" fontId="67" fillId="0" borderId="3" xfId="0" applyFont="1" applyBorder="1" applyAlignment="1">
      <alignment vertical="center"/>
    </xf>
    <xf numFmtId="0" fontId="67" fillId="0" borderId="3" xfId="0" applyFont="1" applyBorder="1" applyAlignment="1">
      <alignment horizontal="right"/>
    </xf>
    <xf numFmtId="175" fontId="45" fillId="0" borderId="3" xfId="0" applyNumberFormat="1" applyFont="1" applyBorder="1" applyAlignment="1">
      <alignment horizontal="center"/>
    </xf>
    <xf numFmtId="174" fontId="76" fillId="0" borderId="3" xfId="0" applyNumberFormat="1" applyFont="1" applyBorder="1" applyAlignment="1">
      <alignment horizontal="center" vertical="center" wrapText="1"/>
    </xf>
    <xf numFmtId="2" fontId="76" fillId="0" borderId="3" xfId="0" applyNumberFormat="1" applyFont="1" applyBorder="1" applyAlignment="1">
      <alignment horizontal="center" vertical="center" wrapText="1"/>
    </xf>
    <xf numFmtId="1" fontId="76" fillId="0" borderId="3" xfId="0" applyNumberFormat="1" applyFont="1" applyBorder="1" applyAlignment="1">
      <alignment horizontal="center" vertical="center" wrapText="1"/>
    </xf>
    <xf numFmtId="174" fontId="55" fillId="0" borderId="3" xfId="0" applyNumberFormat="1" applyFont="1" applyBorder="1" applyAlignment="1">
      <alignment horizontal="center"/>
    </xf>
    <xf numFmtId="2" fontId="55" fillId="0" borderId="3" xfId="0" applyNumberFormat="1" applyFont="1" applyBorder="1" applyAlignment="1">
      <alignment horizontal="center"/>
    </xf>
    <xf numFmtId="175" fontId="76" fillId="0" borderId="3" xfId="0" applyNumberFormat="1" applyFont="1" applyBorder="1" applyAlignment="1">
      <alignment horizontal="center" vertical="center"/>
    </xf>
    <xf numFmtId="175" fontId="76" fillId="0" borderId="3" xfId="0" applyNumberFormat="1" applyFont="1" applyBorder="1" applyAlignment="1">
      <alignment horizontal="center"/>
    </xf>
    <xf numFmtId="0" fontId="76" fillId="0" borderId="3" xfId="0" applyFont="1" applyFill="1" applyBorder="1" applyAlignment="1">
      <alignment vertical="center" wrapText="1"/>
    </xf>
    <xf numFmtId="175" fontId="76" fillId="8" borderId="3" xfId="0" applyNumberFormat="1" applyFont="1" applyFill="1" applyBorder="1" applyAlignment="1">
      <alignment horizontal="center" vertical="center" wrapText="1"/>
    </xf>
    <xf numFmtId="175" fontId="76" fillId="0" borderId="3" xfId="0" applyNumberFormat="1" applyFont="1" applyFill="1" applyBorder="1" applyAlignment="1">
      <alignment horizontal="center"/>
    </xf>
    <xf numFmtId="0" fontId="45" fillId="0" borderId="3" xfId="0" applyFont="1" applyBorder="1" applyAlignment="1">
      <alignment horizontal="center"/>
    </xf>
    <xf numFmtId="175" fontId="45" fillId="0" borderId="3" xfId="0" applyNumberFormat="1" applyFont="1" applyFill="1" applyBorder="1" applyAlignment="1">
      <alignment horizontal="center"/>
    </xf>
    <xf numFmtId="0" fontId="45" fillId="0" borderId="3" xfId="0" applyFont="1" applyFill="1" applyBorder="1" applyAlignment="1">
      <alignment horizont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78" fillId="16" borderId="22" xfId="0" applyFont="1" applyFill="1" applyBorder="1" applyAlignment="1">
      <alignment horizontal="center" vertical="center" wrapText="1"/>
    </xf>
    <xf numFmtId="4" fontId="11" fillId="4" borderId="0" xfId="0" applyNumberFormat="1" applyFont="1" applyFill="1"/>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10" fillId="0" borderId="0" xfId="0" applyFont="1" applyAlignment="1">
      <alignment horizontal="center"/>
    </xf>
    <xf numFmtId="0" fontId="12" fillId="3" borderId="3" xfId="0" applyFont="1" applyFill="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0" fillId="0" borderId="0" xfId="0" applyFont="1" applyAlignment="1">
      <alignment horizontal="left" wrapText="1"/>
    </xf>
    <xf numFmtId="0" fontId="48" fillId="0" borderId="0" xfId="0" applyFont="1" applyAlignment="1">
      <alignment horizontal="left"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4" fontId="11" fillId="0" borderId="4"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174" fontId="11" fillId="0" borderId="4" xfId="0" applyNumberFormat="1" applyFont="1" applyBorder="1" applyAlignment="1">
      <alignment horizontal="center" vertical="center" wrapText="1"/>
    </xf>
    <xf numFmtId="174" fontId="11" fillId="0" borderId="5" xfId="0" applyNumberFormat="1" applyFont="1" applyBorder="1" applyAlignment="1">
      <alignment horizontal="center" vertical="center" wrapText="1"/>
    </xf>
    <xf numFmtId="0" fontId="11" fillId="0" borderId="5" xfId="0" applyFont="1" applyBorder="1" applyAlignment="1">
      <alignmen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175" fontId="16"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0" fontId="11" fillId="0" borderId="4" xfId="0" applyFont="1" applyBorder="1" applyAlignment="1">
      <alignment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7" fillId="4"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1" fillId="4" borderId="4" xfId="0" applyNumberFormat="1" applyFont="1" applyFill="1" applyBorder="1" applyAlignment="1">
      <alignment horizontal="center" vertical="center" wrapText="1"/>
    </xf>
    <xf numFmtId="175" fontId="11" fillId="4" borderId="5"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175" fontId="11" fillId="0" borderId="6" xfId="0" applyNumberFormat="1" applyFont="1" applyBorder="1" applyAlignment="1">
      <alignment horizontal="center" vertical="center" wrapText="1"/>
    </xf>
    <xf numFmtId="175" fontId="12" fillId="0" borderId="4" xfId="0" applyNumberFormat="1" applyFont="1" applyBorder="1" applyAlignment="1">
      <alignment horizontal="center" vertical="center" wrapText="1"/>
    </xf>
    <xf numFmtId="175" fontId="12" fillId="0" borderId="5" xfId="0" applyNumberFormat="1" applyFont="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0" fontId="11" fillId="0" borderId="3" xfId="0" applyFont="1" applyBorder="1" applyAlignment="1">
      <alignment horizontal="left" vertical="center" wrapText="1"/>
    </xf>
    <xf numFmtId="0" fontId="11" fillId="4" borderId="3" xfId="0" applyFont="1" applyFill="1" applyBorder="1" applyAlignment="1">
      <alignment vertical="center" wrapText="1"/>
    </xf>
    <xf numFmtId="4" fontId="16" fillId="4" borderId="3"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4" fontId="11" fillId="4" borderId="4" xfId="0" applyNumberFormat="1" applyFont="1" applyFill="1" applyBorder="1" applyAlignment="1">
      <alignment horizontal="center" vertical="center" wrapText="1"/>
    </xf>
    <xf numFmtId="4" fontId="11" fillId="4" borderId="5"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5" fontId="17" fillId="0" borderId="4" xfId="0" applyNumberFormat="1" applyFont="1" applyBorder="1" applyAlignment="1">
      <alignment horizontal="center" vertical="center" wrapText="1"/>
    </xf>
    <xf numFmtId="175" fontId="17" fillId="0" borderId="5" xfId="0" applyNumberFormat="1" applyFont="1" applyBorder="1" applyAlignment="1">
      <alignment horizontal="center" vertical="center" wrapText="1"/>
    </xf>
    <xf numFmtId="0" fontId="11" fillId="0" borderId="2" xfId="0" applyFont="1" applyBorder="1" applyAlignment="1">
      <alignment horizontal="center" vertical="center"/>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4" fontId="17" fillId="0" borderId="3" xfId="0" applyNumberFormat="1" applyFont="1" applyBorder="1" applyAlignment="1">
      <alignment horizontal="center" vertical="center" wrapText="1"/>
    </xf>
    <xf numFmtId="0" fontId="78" fillId="16" borderId="8" xfId="0" applyFont="1" applyFill="1" applyBorder="1" applyAlignment="1">
      <alignment horizontal="center" vertical="center" wrapText="1"/>
    </xf>
    <xf numFmtId="0" fontId="78" fillId="16" borderId="9" xfId="0" applyFont="1" applyFill="1" applyBorder="1" applyAlignment="1">
      <alignment horizontal="center" vertical="center" wrapText="1"/>
    </xf>
    <xf numFmtId="0" fontId="78" fillId="16" borderId="10"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0" fontId="78" fillId="16" borderId="25" xfId="0" applyFont="1" applyFill="1" applyBorder="1" applyAlignment="1">
      <alignment horizontal="center" vertical="center" wrapText="1"/>
    </xf>
    <xf numFmtId="0" fontId="78" fillId="16" borderId="7" xfId="0" applyFont="1" applyFill="1" applyBorder="1" applyAlignment="1">
      <alignment horizontal="center" vertical="center" wrapText="1"/>
    </xf>
    <xf numFmtId="0" fontId="78" fillId="16" borderId="22" xfId="0" applyFont="1" applyFill="1" applyBorder="1" applyAlignment="1">
      <alignment horizontal="center" vertical="center" wrapText="1"/>
    </xf>
    <xf numFmtId="0" fontId="14" fillId="0" borderId="7" xfId="26" applyFont="1" applyBorder="1" applyAlignment="1">
      <alignment horizontal="center" vertical="top"/>
    </xf>
    <xf numFmtId="0" fontId="14" fillId="0" borderId="17" xfId="26" applyFont="1" applyBorder="1" applyAlignment="1">
      <alignment horizontal="center" vertical="top"/>
    </xf>
    <xf numFmtId="0" fontId="14" fillId="0" borderId="18" xfId="26" applyFont="1" applyBorder="1" applyAlignment="1">
      <alignment horizontal="center" vertical="top"/>
    </xf>
    <xf numFmtId="0" fontId="14" fillId="0" borderId="13" xfId="26" applyFont="1" applyBorder="1" applyAlignment="1">
      <alignment horizontal="right"/>
    </xf>
    <xf numFmtId="0" fontId="14" fillId="0" borderId="0" xfId="26" applyFont="1" applyAlignment="1">
      <alignment horizontal="right"/>
    </xf>
    <xf numFmtId="49" fontId="14" fillId="0" borderId="2" xfId="26" applyNumberFormat="1" applyFont="1" applyBorder="1" applyAlignment="1">
      <alignment horizontal="center"/>
    </xf>
    <xf numFmtId="0" fontId="14" fillId="0" borderId="0" xfId="26" applyFont="1" applyAlignment="1">
      <alignment horizontal="left"/>
    </xf>
    <xf numFmtId="0" fontId="23" fillId="0" borderId="0" xfId="26" applyFont="1" applyAlignment="1">
      <alignment horizontal="right"/>
    </xf>
    <xf numFmtId="49" fontId="23" fillId="0" borderId="2" xfId="26" applyNumberFormat="1" applyFont="1" applyBorder="1" applyAlignment="1">
      <alignment horizontal="left"/>
    </xf>
    <xf numFmtId="0" fontId="14" fillId="0" borderId="0" xfId="26" applyFont="1" applyFill="1" applyAlignment="1">
      <alignment horizontal="right"/>
    </xf>
    <xf numFmtId="49" fontId="14" fillId="0" borderId="2" xfId="26" applyNumberFormat="1" applyFont="1" applyFill="1" applyBorder="1" applyAlignment="1">
      <alignment horizontal="center"/>
    </xf>
    <xf numFmtId="0" fontId="14" fillId="0" borderId="0" xfId="26" applyFont="1" applyFill="1" applyAlignment="1">
      <alignment horizontal="left"/>
    </xf>
    <xf numFmtId="49" fontId="70" fillId="0" borderId="2" xfId="26" applyNumberFormat="1" applyFont="1" applyFill="1" applyBorder="1" applyAlignment="1">
      <alignment horizontal="center"/>
    </xf>
    <xf numFmtId="0" fontId="14" fillId="0" borderId="2" xfId="26" applyFont="1" applyFill="1" applyBorder="1" applyAlignment="1">
      <alignment horizontal="right"/>
    </xf>
    <xf numFmtId="0" fontId="71" fillId="0" borderId="2" xfId="26" applyFont="1" applyFill="1" applyBorder="1"/>
    <xf numFmtId="0" fontId="69" fillId="0" borderId="15" xfId="26" applyFont="1" applyBorder="1" applyAlignment="1">
      <alignment horizontal="left"/>
    </xf>
    <xf numFmtId="0" fontId="69" fillId="0" borderId="2" xfId="26" applyFont="1" applyBorder="1" applyAlignment="1">
      <alignment horizontal="left"/>
    </xf>
    <xf numFmtId="0" fontId="69" fillId="0" borderId="16" xfId="26" applyFont="1" applyBorder="1" applyAlignment="1">
      <alignment horizontal="left"/>
    </xf>
    <xf numFmtId="0" fontId="14" fillId="0" borderId="15" xfId="26" applyFont="1" applyBorder="1" applyAlignment="1">
      <alignment horizontal="center"/>
    </xf>
    <xf numFmtId="0" fontId="14" fillId="0" borderId="2" xfId="26" applyFont="1" applyBorder="1" applyAlignment="1">
      <alignment horizontal="center"/>
    </xf>
    <xf numFmtId="0" fontId="69" fillId="0" borderId="2" xfId="26" applyFont="1" applyBorder="1" applyAlignment="1">
      <alignment horizontal="center"/>
    </xf>
    <xf numFmtId="0" fontId="69" fillId="0" borderId="16" xfId="26" applyFont="1" applyBorder="1" applyAlignment="1">
      <alignment horizontal="center"/>
    </xf>
    <xf numFmtId="0" fontId="44" fillId="0" borderId="0" xfId="26" applyFont="1" applyBorder="1" applyAlignment="1">
      <alignment horizontal="center"/>
    </xf>
    <xf numFmtId="0" fontId="44" fillId="0" borderId="0" xfId="26" applyFont="1" applyFill="1" applyBorder="1" applyAlignment="1">
      <alignment horizontal="center" vertical="top"/>
    </xf>
    <xf numFmtId="0" fontId="14" fillId="0" borderId="2" xfId="26" applyFont="1" applyBorder="1" applyAlignment="1">
      <alignment horizontal="center" wrapText="1"/>
    </xf>
    <xf numFmtId="49" fontId="23" fillId="0" borderId="2" xfId="26" applyNumberFormat="1" applyFont="1" applyBorder="1" applyAlignment="1">
      <alignment horizontal="center"/>
    </xf>
    <xf numFmtId="49" fontId="72" fillId="0" borderId="3" xfId="26" applyNumberFormat="1" applyFont="1" applyBorder="1" applyAlignment="1">
      <alignment horizontal="center" vertical="center"/>
    </xf>
    <xf numFmtId="0" fontId="72" fillId="0" borderId="8" xfId="26" applyFont="1" applyBorder="1" applyAlignment="1">
      <alignment horizontal="left" wrapText="1"/>
    </xf>
    <xf numFmtId="0" fontId="72" fillId="0" borderId="9" xfId="26" applyFont="1" applyBorder="1" applyAlignment="1">
      <alignment horizontal="left" wrapText="1"/>
    </xf>
    <xf numFmtId="49" fontId="72" fillId="0" borderId="37" xfId="26" applyNumberFormat="1" applyFont="1" applyBorder="1" applyAlignment="1">
      <alignment horizontal="center"/>
    </xf>
    <xf numFmtId="49" fontId="72" fillId="0" borderId="9" xfId="26" applyNumberFormat="1" applyFont="1" applyBorder="1" applyAlignment="1">
      <alignment horizontal="center"/>
    </xf>
    <xf numFmtId="49" fontId="72" fillId="0" borderId="10" xfId="26" applyNumberFormat="1" applyFont="1" applyBorder="1" applyAlignment="1">
      <alignment horizontal="center"/>
    </xf>
    <xf numFmtId="49" fontId="72" fillId="0" borderId="8" xfId="0" applyNumberFormat="1" applyFont="1" applyBorder="1" applyAlignment="1">
      <alignment horizontal="center" vertical="center"/>
    </xf>
    <xf numFmtId="49" fontId="72" fillId="0" borderId="9" xfId="0" applyNumberFormat="1" applyFont="1" applyBorder="1" applyAlignment="1">
      <alignment horizontal="center" vertical="center"/>
    </xf>
    <xf numFmtId="49" fontId="72" fillId="0" borderId="10" xfId="0" applyNumberFormat="1" applyFont="1" applyBorder="1" applyAlignment="1">
      <alignment horizontal="center" vertical="center"/>
    </xf>
    <xf numFmtId="0" fontId="72" fillId="0" borderId="8" xfId="0" applyFont="1" applyBorder="1" applyAlignment="1">
      <alignment horizontal="left" wrapText="1" indent="1"/>
    </xf>
    <xf numFmtId="0" fontId="72" fillId="0" borderId="9" xfId="0" applyFont="1" applyBorder="1" applyAlignment="1">
      <alignment horizontal="left" indent="1"/>
    </xf>
    <xf numFmtId="49" fontId="72" fillId="0" borderId="37" xfId="0" applyNumberFormat="1" applyFont="1" applyBorder="1" applyAlignment="1">
      <alignment horizontal="center"/>
    </xf>
    <xf numFmtId="49" fontId="72" fillId="0" borderId="9" xfId="0" applyNumberFormat="1" applyFont="1" applyBorder="1" applyAlignment="1">
      <alignment horizontal="center"/>
    </xf>
    <xf numFmtId="49" fontId="72" fillId="0" borderId="10" xfId="0" applyNumberFormat="1" applyFont="1" applyBorder="1" applyAlignment="1">
      <alignment horizontal="center"/>
    </xf>
    <xf numFmtId="49" fontId="22" fillId="14" borderId="3" xfId="26" applyNumberFormat="1" applyFont="1" applyFill="1" applyBorder="1" applyAlignment="1">
      <alignment horizontal="center" vertical="center"/>
    </xf>
    <xf numFmtId="0" fontId="22" fillId="14" borderId="8" xfId="26" applyFont="1" applyFill="1" applyBorder="1" applyAlignment="1">
      <alignment horizontal="left" wrapText="1"/>
    </xf>
    <xf numFmtId="0" fontId="22" fillId="14" borderId="9" xfId="26" applyFont="1" applyFill="1" applyBorder="1" applyAlignment="1">
      <alignment horizontal="left" wrapText="1"/>
    </xf>
    <xf numFmtId="49" fontId="22" fillId="14" borderId="33" xfId="26" applyNumberFormat="1" applyFont="1" applyFill="1" applyBorder="1" applyAlignment="1">
      <alignment horizontal="center"/>
    </xf>
    <xf numFmtId="49" fontId="22" fillId="14" borderId="34" xfId="26" applyNumberFormat="1" applyFont="1" applyFill="1" applyBorder="1" applyAlignment="1">
      <alignment horizontal="center"/>
    </xf>
    <xf numFmtId="49" fontId="22" fillId="14" borderId="35" xfId="26" applyNumberFormat="1" applyFont="1" applyFill="1" applyBorder="1" applyAlignment="1">
      <alignment horizontal="center"/>
    </xf>
    <xf numFmtId="0" fontId="72" fillId="0" borderId="8" xfId="0" applyFont="1" applyBorder="1" applyAlignment="1">
      <alignment horizontal="left" wrapText="1" indent="2"/>
    </xf>
    <xf numFmtId="0" fontId="72" fillId="0" borderId="9" xfId="0" applyFont="1" applyBorder="1" applyAlignment="1">
      <alignment horizontal="left" indent="2"/>
    </xf>
    <xf numFmtId="49" fontId="72" fillId="14" borderId="8" xfId="0" applyNumberFormat="1" applyFont="1" applyFill="1" applyBorder="1" applyAlignment="1">
      <alignment horizontal="center" vertical="center"/>
    </xf>
    <xf numFmtId="49" fontId="72" fillId="14" borderId="9" xfId="0" applyNumberFormat="1" applyFont="1" applyFill="1" applyBorder="1" applyAlignment="1">
      <alignment horizontal="center" vertical="center"/>
    </xf>
    <xf numFmtId="49" fontId="72" fillId="14" borderId="10" xfId="0" applyNumberFormat="1" applyFont="1" applyFill="1" applyBorder="1" applyAlignment="1">
      <alignment horizontal="center" vertical="center"/>
    </xf>
    <xf numFmtId="0" fontId="72" fillId="14" borderId="8" xfId="0" applyFont="1" applyFill="1" applyBorder="1" applyAlignment="1">
      <alignment horizontal="left" wrapText="1" indent="1"/>
    </xf>
    <xf numFmtId="0" fontId="72" fillId="14" borderId="9" xfId="0" applyFont="1" applyFill="1" applyBorder="1" applyAlignment="1">
      <alignment horizontal="left" indent="1"/>
    </xf>
    <xf numFmtId="49" fontId="72" fillId="14" borderId="37" xfId="0" applyNumberFormat="1" applyFont="1" applyFill="1" applyBorder="1" applyAlignment="1">
      <alignment horizontal="center"/>
    </xf>
    <xf numFmtId="49" fontId="72" fillId="14" borderId="9" xfId="0" applyNumberFormat="1" applyFont="1" applyFill="1" applyBorder="1" applyAlignment="1">
      <alignment horizontal="center"/>
    </xf>
    <xf numFmtId="49" fontId="72" fillId="14" borderId="10" xfId="0" applyNumberFormat="1" applyFont="1" applyFill="1" applyBorder="1" applyAlignment="1">
      <alignment horizontal="center"/>
    </xf>
    <xf numFmtId="49" fontId="73" fillId="0" borderId="37" xfId="0" applyNumberFormat="1" applyFont="1" applyBorder="1" applyAlignment="1">
      <alignment horizontal="center"/>
    </xf>
    <xf numFmtId="49" fontId="73" fillId="0" borderId="9" xfId="0" applyNumberFormat="1" applyFont="1" applyBorder="1" applyAlignment="1">
      <alignment horizontal="center"/>
    </xf>
    <xf numFmtId="49" fontId="73" fillId="0" borderId="10" xfId="0" applyNumberFormat="1" applyFont="1" applyBorder="1" applyAlignment="1">
      <alignment horizontal="center"/>
    </xf>
    <xf numFmtId="0" fontId="72" fillId="14" borderId="8" xfId="0" applyFont="1" applyFill="1" applyBorder="1" applyAlignment="1">
      <alignment horizontal="left" wrapText="1" indent="2"/>
    </xf>
    <xf numFmtId="0" fontId="72" fillId="14" borderId="9" xfId="0" applyFont="1" applyFill="1" applyBorder="1" applyAlignment="1">
      <alignment horizontal="left" indent="2"/>
    </xf>
    <xf numFmtId="49" fontId="22" fillId="14" borderId="8" xfId="0" applyNumberFormat="1" applyFont="1" applyFill="1" applyBorder="1" applyAlignment="1">
      <alignment horizontal="center" vertical="center"/>
    </xf>
    <xf numFmtId="49" fontId="22" fillId="14" borderId="9" xfId="0" applyNumberFormat="1" applyFont="1" applyFill="1" applyBorder="1" applyAlignment="1">
      <alignment horizontal="center" vertical="center"/>
    </xf>
    <xf numFmtId="49" fontId="22" fillId="14" borderId="10" xfId="0" applyNumberFormat="1" applyFont="1" applyFill="1" applyBorder="1" applyAlignment="1">
      <alignment horizontal="center" vertical="center"/>
    </xf>
    <xf numFmtId="0" fontId="22" fillId="14" borderId="8" xfId="0" applyFont="1" applyFill="1" applyBorder="1" applyAlignment="1">
      <alignment horizontal="left"/>
    </xf>
    <xf numFmtId="0" fontId="22" fillId="14" borderId="9" xfId="0" applyFont="1" applyFill="1" applyBorder="1" applyAlignment="1">
      <alignment horizontal="left"/>
    </xf>
    <xf numFmtId="49" fontId="22" fillId="14" borderId="33" xfId="0" applyNumberFormat="1" applyFont="1" applyFill="1" applyBorder="1" applyAlignment="1">
      <alignment horizontal="center"/>
    </xf>
    <xf numFmtId="49" fontId="22" fillId="14" borderId="34" xfId="0" applyNumberFormat="1" applyFont="1" applyFill="1" applyBorder="1" applyAlignment="1">
      <alignment horizontal="center"/>
    </xf>
    <xf numFmtId="49" fontId="22" fillId="14" borderId="35" xfId="0" applyNumberFormat="1" applyFont="1" applyFill="1" applyBorder="1" applyAlignment="1">
      <alignment horizontal="center"/>
    </xf>
    <xf numFmtId="176" fontId="72" fillId="14" borderId="8" xfId="0" applyNumberFormat="1" applyFont="1" applyFill="1" applyBorder="1" applyAlignment="1">
      <alignment horizontal="left" wrapText="1" indent="1"/>
    </xf>
    <xf numFmtId="0" fontId="22" fillId="0" borderId="0" xfId="26" applyFont="1" applyAlignment="1">
      <alignment horizontal="center" vertical="center"/>
    </xf>
    <xf numFmtId="0" fontId="15" fillId="0" borderId="3" xfId="26" applyFont="1" applyBorder="1" applyAlignment="1">
      <alignment horizontal="center" vertical="center" wrapText="1"/>
    </xf>
    <xf numFmtId="0" fontId="15" fillId="0" borderId="7" xfId="26" applyFont="1" applyBorder="1" applyAlignment="1">
      <alignment horizontal="center" vertical="center" wrapText="1"/>
    </xf>
    <xf numFmtId="0" fontId="15" fillId="0" borderId="22" xfId="26" applyFont="1" applyBorder="1" applyAlignment="1">
      <alignment horizontal="center" vertical="center" wrapText="1"/>
    </xf>
    <xf numFmtId="0" fontId="15" fillId="0" borderId="0" xfId="26" applyFont="1" applyBorder="1" applyAlignment="1">
      <alignment horizontal="center" vertical="center" wrapText="1"/>
    </xf>
    <xf numFmtId="0" fontId="15" fillId="0" borderId="23" xfId="26" applyFont="1" applyBorder="1" applyAlignment="1">
      <alignment horizontal="center" vertical="center" wrapText="1"/>
    </xf>
    <xf numFmtId="0" fontId="35" fillId="0" borderId="2" xfId="26" applyFont="1" applyBorder="1" applyAlignment="1">
      <alignment horizontal="center" vertical="center" wrapText="1"/>
    </xf>
    <xf numFmtId="0" fontId="15" fillId="0" borderId="2" xfId="26" applyFont="1" applyBorder="1" applyAlignment="1">
      <alignment horizontal="center" vertical="center" wrapText="1"/>
    </xf>
    <xf numFmtId="0" fontId="15" fillId="0" borderId="27" xfId="26" applyFont="1" applyBorder="1" applyAlignment="1">
      <alignment horizontal="center" vertical="center" wrapText="1"/>
    </xf>
    <xf numFmtId="0" fontId="15" fillId="0" borderId="25" xfId="26" applyFont="1" applyBorder="1" applyAlignment="1">
      <alignment horizontal="center" vertical="center" wrapText="1"/>
    </xf>
    <xf numFmtId="0" fontId="15" fillId="0" borderId="24" xfId="26" applyFont="1" applyBorder="1" applyAlignment="1">
      <alignment horizontal="center" vertical="center" wrapText="1"/>
    </xf>
    <xf numFmtId="0" fontId="15" fillId="0" borderId="28" xfId="26" applyFont="1" applyBorder="1" applyAlignment="1">
      <alignment horizontal="center" vertical="center" wrapText="1"/>
    </xf>
    <xf numFmtId="0" fontId="15" fillId="0" borderId="8" xfId="26" applyFont="1" applyBorder="1" applyAlignment="1">
      <alignment horizontal="center" vertical="center"/>
    </xf>
    <xf numFmtId="0" fontId="15" fillId="0" borderId="9" xfId="26" applyFont="1" applyBorder="1" applyAlignment="1">
      <alignment horizontal="center" vertical="center"/>
    </xf>
    <xf numFmtId="0" fontId="15" fillId="0" borderId="10" xfId="26" applyFont="1" applyBorder="1" applyAlignment="1">
      <alignment horizontal="center" vertical="center"/>
    </xf>
    <xf numFmtId="0" fontId="15" fillId="0" borderId="4" xfId="26" applyFont="1" applyBorder="1" applyAlignment="1">
      <alignment horizontal="center" vertical="center" wrapText="1"/>
    </xf>
    <xf numFmtId="0" fontId="15" fillId="0" borderId="5" xfId="26" applyFont="1" applyBorder="1" applyAlignment="1">
      <alignment horizontal="center" vertical="center" wrapText="1"/>
    </xf>
    <xf numFmtId="49" fontId="21" fillId="0" borderId="3" xfId="26" applyNumberFormat="1" applyFont="1" applyBorder="1" applyAlignment="1">
      <alignment horizontal="center" vertical="top"/>
    </xf>
    <xf numFmtId="49" fontId="21" fillId="0" borderId="9" xfId="26" applyNumberFormat="1" applyFont="1" applyBorder="1" applyAlignment="1">
      <alignment horizontal="center" vertical="top" wrapText="1"/>
    </xf>
    <xf numFmtId="49" fontId="21" fillId="0" borderId="10" xfId="26" applyNumberFormat="1" applyFont="1" applyBorder="1" applyAlignment="1">
      <alignment horizontal="center" vertical="top" wrapText="1"/>
    </xf>
    <xf numFmtId="49" fontId="21" fillId="0" borderId="29" xfId="26" applyNumberFormat="1" applyFont="1" applyBorder="1" applyAlignment="1">
      <alignment horizontal="center" vertical="top"/>
    </xf>
    <xf numFmtId="49" fontId="21" fillId="0" borderId="30" xfId="26" applyNumberFormat="1" applyFont="1" applyBorder="1" applyAlignment="1">
      <alignment horizontal="center" vertical="top"/>
    </xf>
    <xf numFmtId="49" fontId="21" fillId="0" borderId="31" xfId="26" applyNumberFormat="1" applyFont="1" applyBorder="1" applyAlignment="1">
      <alignment horizontal="center" vertical="top"/>
    </xf>
    <xf numFmtId="49" fontId="73" fillId="14" borderId="37" xfId="0" applyNumberFormat="1" applyFont="1" applyFill="1" applyBorder="1" applyAlignment="1">
      <alignment horizontal="center"/>
    </xf>
    <xf numFmtId="49" fontId="73" fillId="14" borderId="9" xfId="0" applyNumberFormat="1" applyFont="1" applyFill="1" applyBorder="1" applyAlignment="1">
      <alignment horizontal="center"/>
    </xf>
    <xf numFmtId="49" fontId="73" fillId="14" borderId="10" xfId="0" applyNumberFormat="1" applyFont="1" applyFill="1" applyBorder="1" applyAlignment="1">
      <alignment horizontal="center"/>
    </xf>
    <xf numFmtId="0" fontId="31" fillId="0" borderId="0" xfId="0" applyFont="1" applyAlignment="1">
      <alignment horizontal="left"/>
    </xf>
    <xf numFmtId="0" fontId="8" fillId="0" borderId="2" xfId="0" applyFont="1" applyBorder="1" applyAlignment="1">
      <alignment horizontal="left"/>
    </xf>
    <xf numFmtId="0" fontId="58" fillId="0" borderId="2" xfId="0" applyFont="1" applyBorder="1" applyAlignment="1">
      <alignment horizontal="left"/>
    </xf>
    <xf numFmtId="4" fontId="33" fillId="0" borderId="3" xfId="0" applyNumberFormat="1" applyFont="1" applyFill="1" applyBorder="1" applyAlignment="1">
      <alignment horizontal="center" vertical="top" wrapText="1"/>
    </xf>
    <xf numFmtId="0" fontId="33" fillId="0" borderId="3" xfId="0" applyFont="1" applyFill="1" applyBorder="1" applyAlignment="1">
      <alignment horizontal="left" vertical="top" wrapText="1"/>
    </xf>
    <xf numFmtId="0" fontId="34" fillId="0" borderId="3" xfId="0" applyFont="1" applyBorder="1" applyAlignment="1">
      <alignment horizontal="center" wrapText="1"/>
    </xf>
    <xf numFmtId="174" fontId="32" fillId="0" borderId="3" xfId="0" applyNumberFormat="1" applyFont="1" applyBorder="1" applyAlignment="1">
      <alignment horizontal="center" vertical="top" wrapText="1"/>
    </xf>
    <xf numFmtId="4" fontId="45" fillId="0" borderId="3" xfId="0" applyNumberFormat="1" applyFont="1" applyFill="1" applyBorder="1" applyAlignment="1">
      <alignment horizontal="center" vertical="top" wrapText="1"/>
    </xf>
    <xf numFmtId="0" fontId="32" fillId="0" borderId="3" xfId="0" applyFont="1" applyBorder="1" applyAlignment="1">
      <alignment horizontal="center" vertical="center" wrapText="1"/>
    </xf>
    <xf numFmtId="0" fontId="32" fillId="0" borderId="8" xfId="0" applyFont="1" applyBorder="1" applyAlignment="1">
      <alignment horizontal="center" vertical="top" wrapText="1"/>
    </xf>
    <xf numFmtId="0" fontId="32" fillId="0" borderId="9" xfId="0" applyFont="1" applyBorder="1" applyAlignment="1">
      <alignment horizontal="center" vertical="top" wrapText="1"/>
    </xf>
    <xf numFmtId="0" fontId="32" fillId="0" borderId="10" xfId="0" applyFont="1" applyBorder="1" applyAlignment="1">
      <alignment horizontal="center" vertical="top" wrapText="1"/>
    </xf>
    <xf numFmtId="0" fontId="30" fillId="0" borderId="0" xfId="0" applyFont="1" applyAlignment="1">
      <alignment horizontal="center" vertical="center"/>
    </xf>
    <xf numFmtId="0" fontId="32" fillId="0" borderId="3" xfId="0" applyFont="1" applyBorder="1" applyAlignment="1">
      <alignment horizontal="center" vertical="top"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horizontal="left" vertical="center" wrapText="1"/>
    </xf>
    <xf numFmtId="0" fontId="60" fillId="0" borderId="3" xfId="0" applyFont="1" applyBorder="1" applyAlignment="1">
      <alignment horizontal="center" vertical="center" wrapText="1"/>
    </xf>
    <xf numFmtId="0" fontId="60" fillId="0" borderId="3" xfId="0" applyFont="1" applyFill="1" applyBorder="1" applyAlignment="1">
      <alignment horizontal="left" vertical="center" wrapText="1"/>
    </xf>
    <xf numFmtId="175" fontId="60" fillId="0" borderId="3" xfId="0" applyNumberFormat="1" applyFont="1" applyFill="1" applyBorder="1" applyAlignment="1">
      <alignment horizontal="center" vertical="center" wrapText="1"/>
    </xf>
    <xf numFmtId="0" fontId="32" fillId="0" borderId="0"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9" xfId="0" applyFont="1" applyBorder="1" applyAlignment="1">
      <alignment horizontal="center" vertical="center" wrapText="1"/>
    </xf>
    <xf numFmtId="178" fontId="33" fillId="0" borderId="8" xfId="0" applyNumberFormat="1" applyFont="1" applyBorder="1" applyAlignment="1">
      <alignment horizontal="center" vertical="center" wrapText="1"/>
    </xf>
    <xf numFmtId="178" fontId="33" fillId="0" borderId="10"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9" xfId="0" applyFont="1" applyBorder="1" applyAlignment="1">
      <alignment horizontal="center" vertical="center" wrapText="1"/>
    </xf>
    <xf numFmtId="175" fontId="33" fillId="0" borderId="8" xfId="0" applyNumberFormat="1" applyFont="1" applyBorder="1" applyAlignment="1">
      <alignment horizontal="center" vertical="center" wrapText="1"/>
    </xf>
    <xf numFmtId="175" fontId="33" fillId="0" borderId="10" xfId="0" applyNumberFormat="1" applyFont="1" applyBorder="1" applyAlignment="1">
      <alignment horizontal="center" vertical="center" wrapText="1"/>
    </xf>
    <xf numFmtId="175" fontId="33" fillId="0" borderId="8" xfId="0" applyNumberFormat="1" applyFont="1" applyFill="1" applyBorder="1" applyAlignment="1">
      <alignment horizontal="center" vertical="center" wrapText="1"/>
    </xf>
    <xf numFmtId="175" fontId="33" fillId="0" borderId="10" xfId="0" applyNumberFormat="1"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10" xfId="0" applyFont="1" applyFill="1" applyBorder="1" applyAlignment="1">
      <alignment horizontal="center" vertical="center" wrapText="1"/>
    </xf>
    <xf numFmtId="179" fontId="33" fillId="0" borderId="8" xfId="0" applyNumberFormat="1" applyFont="1" applyBorder="1" applyAlignment="1">
      <alignment horizontal="center" vertical="center" wrapText="1"/>
    </xf>
    <xf numFmtId="179" fontId="33" fillId="0" borderId="10" xfId="0" applyNumberFormat="1" applyFont="1" applyBorder="1" applyAlignment="1">
      <alignment horizontal="center" vertical="center" wrapText="1"/>
    </xf>
    <xf numFmtId="10" fontId="33" fillId="0" borderId="8" xfId="0" applyNumberFormat="1" applyFont="1" applyBorder="1" applyAlignment="1">
      <alignment horizontal="center" vertical="center" wrapText="1"/>
    </xf>
    <xf numFmtId="10" fontId="33" fillId="0" borderId="10" xfId="0" applyNumberFormat="1" applyFont="1" applyBorder="1" applyAlignment="1">
      <alignment horizontal="center" vertical="center" wrapText="1"/>
    </xf>
    <xf numFmtId="10" fontId="45" fillId="0" borderId="8" xfId="0" applyNumberFormat="1" applyFont="1" applyBorder="1" applyAlignment="1">
      <alignment horizontal="center" vertical="center" wrapText="1"/>
    </xf>
    <xf numFmtId="10" fontId="45" fillId="0" borderId="10" xfId="0" applyNumberFormat="1" applyFont="1" applyBorder="1" applyAlignment="1">
      <alignment horizontal="center" vertical="center" wrapText="1"/>
    </xf>
    <xf numFmtId="10" fontId="45" fillId="0" borderId="8" xfId="0" applyNumberFormat="1" applyFont="1" applyFill="1" applyBorder="1" applyAlignment="1">
      <alignment horizontal="center" vertical="center" wrapText="1"/>
    </xf>
    <xf numFmtId="10" fontId="45" fillId="0" borderId="10" xfId="0" applyNumberFormat="1"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7"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5"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3" xfId="0" applyFont="1" applyBorder="1" applyAlignment="1">
      <alignment horizontal="center" vertical="center" wrapText="1"/>
    </xf>
    <xf numFmtId="0" fontId="11" fillId="0" borderId="0" xfId="0" applyFont="1" applyAlignment="1">
      <alignment horizontal="left" wrapText="1"/>
    </xf>
    <xf numFmtId="0" fontId="76" fillId="0" borderId="3" xfId="0" applyFont="1" applyBorder="1" applyAlignment="1">
      <alignment horizontal="center" vertical="center" wrapText="1"/>
    </xf>
    <xf numFmtId="0" fontId="76" fillId="0" borderId="8" xfId="0" applyFont="1" applyBorder="1" applyAlignment="1">
      <alignment horizontal="center" vertical="center" wrapText="1"/>
    </xf>
    <xf numFmtId="0" fontId="76" fillId="0" borderId="9" xfId="0" applyFont="1" applyBorder="1" applyAlignment="1">
      <alignment horizontal="center" vertical="center" wrapText="1"/>
    </xf>
    <xf numFmtId="0" fontId="76" fillId="0" borderId="10" xfId="0" applyFont="1" applyBorder="1" applyAlignment="1">
      <alignment horizontal="center" vertical="center" wrapText="1"/>
    </xf>
    <xf numFmtId="0" fontId="32" fillId="0" borderId="3"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76" fillId="0" borderId="3" xfId="0" applyFont="1" applyFill="1" applyBorder="1" applyAlignment="1">
      <alignment horizontal="center" vertical="center" wrapText="1"/>
    </xf>
    <xf numFmtId="0" fontId="32" fillId="0" borderId="3" xfId="0" applyFont="1" applyBorder="1" applyAlignment="1">
      <alignment vertical="center" wrapText="1"/>
    </xf>
    <xf numFmtId="0" fontId="11" fillId="0" borderId="0" xfId="0" applyFont="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4" fontId="11" fillId="0" borderId="0" xfId="0" applyNumberFormat="1" applyFont="1" applyAlignment="1">
      <alignment horizontal="center" vertical="center"/>
    </xf>
    <xf numFmtId="4" fontId="55" fillId="0" borderId="3" xfId="0" applyNumberFormat="1" applyFont="1" applyBorder="1" applyAlignment="1">
      <alignment horizontal="center" vertical="center"/>
    </xf>
    <xf numFmtId="0" fontId="11" fillId="12" borderId="3" xfId="0" applyFont="1" applyFill="1" applyBorder="1" applyAlignment="1">
      <alignment horizontal="center"/>
    </xf>
    <xf numFmtId="0" fontId="25" fillId="12" borderId="3" xfId="0" applyFont="1" applyFill="1" applyBorder="1" applyAlignment="1">
      <alignment horizontal="center"/>
    </xf>
    <xf numFmtId="0" fontId="11" fillId="12" borderId="3" xfId="0" applyFont="1" applyFill="1" applyBorder="1" applyAlignment="1">
      <alignment horizontal="left"/>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11" fillId="12" borderId="8" xfId="0" applyFont="1" applyFill="1" applyBorder="1" applyAlignment="1">
      <alignment horizontal="right"/>
    </xf>
    <xf numFmtId="0" fontId="11" fillId="12" borderId="9" xfId="0" applyFont="1" applyFill="1" applyBorder="1" applyAlignment="1">
      <alignment horizontal="right"/>
    </xf>
    <xf numFmtId="0" fontId="11" fillId="12" borderId="10" xfId="0" applyFont="1" applyFill="1" applyBorder="1" applyAlignment="1">
      <alignment horizontal="right"/>
    </xf>
    <xf numFmtId="0" fontId="33" fillId="0" borderId="6" xfId="0" applyFont="1" applyBorder="1" applyAlignment="1">
      <alignment horizontal="center" vertical="center" wrapText="1"/>
    </xf>
    <xf numFmtId="0" fontId="33"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175" fontId="68" fillId="0" borderId="8" xfId="0" applyNumberFormat="1" applyFont="1" applyFill="1" applyBorder="1" applyAlignment="1">
      <alignment horizontal="center" vertical="center" wrapText="1"/>
    </xf>
    <xf numFmtId="175" fontId="68" fillId="0" borderId="10" xfId="0" applyNumberFormat="1" applyFont="1" applyFill="1" applyBorder="1" applyAlignment="1">
      <alignment horizontal="center" vertical="center" wrapText="1"/>
    </xf>
    <xf numFmtId="175" fontId="68" fillId="0" borderId="8" xfId="0" applyNumberFormat="1" applyFont="1" applyBorder="1" applyAlignment="1">
      <alignment horizontal="center" vertical="center" wrapText="1"/>
    </xf>
    <xf numFmtId="175" fontId="68" fillId="0" borderId="10" xfId="0" applyNumberFormat="1" applyFont="1" applyBorder="1" applyAlignment="1">
      <alignment horizontal="center" vertical="center" wrapText="1"/>
    </xf>
    <xf numFmtId="0" fontId="91" fillId="0" borderId="0" xfId="0" applyFont="1" applyAlignment="1">
      <alignment horizontal="center" vertical="center"/>
    </xf>
    <xf numFmtId="175" fontId="33" fillId="0" borderId="4" xfId="0" applyNumberFormat="1" applyFont="1" applyBorder="1" applyAlignment="1">
      <alignment horizontal="center" vertical="center" wrapText="1"/>
    </xf>
    <xf numFmtId="175" fontId="33" fillId="0" borderId="5" xfId="0" applyNumberFormat="1" applyFont="1" applyBorder="1" applyAlignment="1">
      <alignment horizontal="center" vertical="center" wrapText="1"/>
    </xf>
    <xf numFmtId="1" fontId="33" fillId="0" borderId="4" xfId="0" applyNumberFormat="1" applyFont="1" applyBorder="1" applyAlignment="1">
      <alignment horizontal="center" vertical="center" wrapText="1"/>
    </xf>
    <xf numFmtId="1" fontId="33" fillId="0" borderId="5" xfId="0" applyNumberFormat="1" applyFont="1" applyBorder="1" applyAlignment="1">
      <alignment horizontal="center" vertical="center" wrapText="1"/>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174" fontId="33" fillId="0" borderId="4" xfId="0" applyNumberFormat="1" applyFont="1" applyBorder="1" applyAlignment="1">
      <alignment horizontal="center" vertical="center" wrapText="1"/>
    </xf>
    <xf numFmtId="174" fontId="33" fillId="0" borderId="5" xfId="0" applyNumberFormat="1" applyFont="1" applyBorder="1" applyAlignment="1">
      <alignment horizontal="center" vertical="center" wrapText="1"/>
    </xf>
    <xf numFmtId="0" fontId="33" fillId="0" borderId="48"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46" xfId="0" applyFont="1" applyBorder="1" applyAlignment="1">
      <alignment horizontal="center" vertical="center" wrapText="1"/>
    </xf>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hdPlan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N57">
            <v>27124887.949999999</v>
          </cell>
        </row>
        <row r="79">
          <cell r="N79">
            <v>5207036.58</v>
          </cell>
        </row>
      </sheetData>
      <sheetData sheetId="7"/>
      <sheetData sheetId="8"/>
      <sheetData sheetId="9">
        <row r="22">
          <cell r="F22">
            <v>8142293.2800000003</v>
          </cell>
          <cell r="H22">
            <v>8098921.9800000004</v>
          </cell>
        </row>
        <row r="42">
          <cell r="F42">
            <v>1450913.69</v>
          </cell>
          <cell r="H42">
            <v>1533302.43</v>
          </cell>
        </row>
      </sheetData>
      <sheetData sheetId="10">
        <row r="12">
          <cell r="J12">
            <v>33799.160000000003</v>
          </cell>
          <cell r="N12">
            <v>35559.82</v>
          </cell>
        </row>
        <row r="38">
          <cell r="I38">
            <v>0</v>
          </cell>
          <cell r="J38">
            <v>1931855</v>
          </cell>
          <cell r="N38">
            <v>1875795.25</v>
          </cell>
        </row>
        <row r="39">
          <cell r="I39">
            <v>0</v>
          </cell>
          <cell r="J39">
            <v>99437</v>
          </cell>
          <cell r="N39">
            <v>99437</v>
          </cell>
        </row>
        <row r="41">
          <cell r="J41">
            <v>57383.81</v>
          </cell>
          <cell r="N41">
            <v>57383.81</v>
          </cell>
        </row>
        <row r="42">
          <cell r="J42">
            <v>2108376.81</v>
          </cell>
          <cell r="N42">
            <v>2052317.06</v>
          </cell>
        </row>
        <row r="51">
          <cell r="J51">
            <v>7568.56</v>
          </cell>
          <cell r="N51">
            <v>7810.55</v>
          </cell>
        </row>
        <row r="52">
          <cell r="J52">
            <v>0</v>
          </cell>
          <cell r="N52">
            <v>0</v>
          </cell>
        </row>
        <row r="84">
          <cell r="R84">
            <v>108464.16</v>
          </cell>
        </row>
        <row r="96">
          <cell r="R96">
            <v>181320</v>
          </cell>
        </row>
        <row r="109">
          <cell r="N109">
            <v>79311.92</v>
          </cell>
        </row>
        <row r="120">
          <cell r="N120">
            <v>405383.61</v>
          </cell>
        </row>
        <row r="138">
          <cell r="N138">
            <v>2057755.88</v>
          </cell>
        </row>
      </sheetData>
      <sheetData sheetId="11">
        <row r="19">
          <cell r="N19">
            <v>26226.32</v>
          </cell>
        </row>
        <row r="34">
          <cell r="O34">
            <v>1562181.16</v>
          </cell>
        </row>
        <row r="46">
          <cell r="O46">
            <v>0</v>
          </cell>
        </row>
        <row r="59">
          <cell r="O59">
            <v>364281.23</v>
          </cell>
        </row>
        <row r="69">
          <cell r="O69">
            <v>14294.28</v>
          </cell>
        </row>
      </sheetData>
      <sheetData sheetId="12">
        <row r="14">
          <cell r="K14">
            <v>17902</v>
          </cell>
        </row>
        <row r="36">
          <cell r="N36">
            <v>1128025.2</v>
          </cell>
        </row>
        <row r="52">
          <cell r="L52">
            <v>186427.51</v>
          </cell>
        </row>
        <row r="62">
          <cell r="L62">
            <v>2329591.33</v>
          </cell>
        </row>
        <row r="110">
          <cell r="L110">
            <v>2742231.09</v>
          </cell>
        </row>
        <row r="243">
          <cell r="L243">
            <v>306328</v>
          </cell>
        </row>
        <row r="295">
          <cell r="L295">
            <v>1420791.46</v>
          </cell>
        </row>
        <row r="299">
          <cell r="G299" t="str">
            <v>2021 год</v>
          </cell>
        </row>
        <row r="300">
          <cell r="G300">
            <v>4800</v>
          </cell>
          <cell r="H300">
            <v>7200</v>
          </cell>
        </row>
        <row r="301">
          <cell r="G301">
            <v>46508233.899999999</v>
          </cell>
          <cell r="H301">
            <v>46636352.270000003</v>
          </cell>
        </row>
        <row r="302">
          <cell r="H302">
            <v>12701250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ХД_ Поступления и выплаты"/>
      <sheetName val="ФХД_ Сведения по выплатам на з"/>
    </sheetNames>
    <sheetDataSet>
      <sheetData sheetId="0"/>
      <sheetData sheetId="1">
        <row r="10">
          <cell r="CX10">
            <v>18866588.27</v>
          </cell>
        </row>
        <row r="14">
          <cell r="CX14">
            <v>4833548.6500000004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Q34"/>
  <sheetViews>
    <sheetView zoomScale="55" workbookViewId="0">
      <selection activeCell="R15" sqref="R15"/>
    </sheetView>
  </sheetViews>
  <sheetFormatPr defaultColWidth="9.140625"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46.5" customHeight="1">
      <c r="A1" s="703"/>
      <c r="B1" s="5"/>
      <c r="C1" s="5"/>
      <c r="D1" s="5"/>
      <c r="E1" s="4"/>
      <c r="F1" s="4"/>
      <c r="G1" s="4"/>
      <c r="H1" s="4"/>
      <c r="I1" s="887" t="s">
        <v>0</v>
      </c>
      <c r="J1" s="887"/>
      <c r="K1" s="887"/>
      <c r="L1" s="887"/>
      <c r="M1" s="887"/>
      <c r="N1" s="8"/>
      <c r="O1" s="8"/>
      <c r="P1" s="8"/>
      <c r="Q1" s="9"/>
    </row>
    <row r="2" spans="1:17" ht="26.25" customHeight="1">
      <c r="A2" s="4"/>
      <c r="B2" s="5"/>
      <c r="C2" s="5"/>
      <c r="D2" s="5"/>
      <c r="E2" s="4"/>
      <c r="F2" s="4"/>
      <c r="G2" s="4"/>
      <c r="H2" s="4"/>
      <c r="I2" s="10" t="s">
        <v>956</v>
      </c>
      <c r="J2" s="10"/>
      <c r="K2" s="10"/>
      <c r="L2" s="10"/>
      <c r="M2" s="10"/>
      <c r="N2" s="10"/>
      <c r="O2" s="10"/>
      <c r="P2" s="10"/>
      <c r="Q2" s="9"/>
    </row>
    <row r="3" spans="1:17" ht="24.75" customHeight="1">
      <c r="A3" s="4"/>
      <c r="B3" s="5"/>
      <c r="C3" s="5"/>
      <c r="D3" s="5"/>
      <c r="E3" s="4"/>
      <c r="F3" s="4"/>
      <c r="G3" s="4"/>
      <c r="H3" s="4"/>
      <c r="I3" s="887" t="s">
        <v>496</v>
      </c>
      <c r="J3" s="887"/>
      <c r="K3" s="887"/>
      <c r="L3" s="887"/>
      <c r="M3" s="887"/>
      <c r="N3" s="887"/>
      <c r="O3" s="887"/>
      <c r="P3" s="887"/>
      <c r="Q3" s="887"/>
    </row>
    <row r="4" spans="1:17" ht="13.5" customHeight="1">
      <c r="A4" s="4"/>
      <c r="B4" s="5"/>
      <c r="C4" s="5"/>
      <c r="D4" s="5"/>
      <c r="E4" s="4"/>
      <c r="F4" s="4"/>
      <c r="G4" s="4"/>
      <c r="H4" s="4"/>
      <c r="I4" s="888" t="s">
        <v>1</v>
      </c>
      <c r="J4" s="888"/>
      <c r="K4" s="888"/>
      <c r="L4" s="888"/>
      <c r="M4" s="888"/>
      <c r="N4" s="7"/>
      <c r="O4" s="7"/>
      <c r="P4" s="7"/>
      <c r="Q4" s="9"/>
    </row>
    <row r="5" spans="1:17" ht="37.5" customHeight="1">
      <c r="A5" s="4"/>
      <c r="B5" s="5"/>
      <c r="C5" s="5"/>
      <c r="D5" s="5"/>
      <c r="E5" s="4"/>
      <c r="F5" s="4"/>
      <c r="G5" s="4"/>
      <c r="H5" s="4"/>
      <c r="I5" s="11"/>
      <c r="J5" s="12"/>
      <c r="K5" s="12"/>
      <c r="L5" s="12"/>
      <c r="M5" s="197"/>
      <c r="N5" s="13"/>
      <c r="O5" s="13"/>
      <c r="P5" s="13"/>
      <c r="Q5" s="277" t="s">
        <v>957</v>
      </c>
    </row>
    <row r="6" spans="1:17" ht="37.5" customHeight="1">
      <c r="A6" s="4"/>
      <c r="B6" s="5"/>
      <c r="C6" s="5"/>
      <c r="D6" s="5"/>
      <c r="E6" s="4"/>
      <c r="F6" s="4"/>
      <c r="G6" s="4"/>
      <c r="H6" s="4"/>
      <c r="I6" s="211" t="s">
        <v>175</v>
      </c>
      <c r="J6" s="203"/>
      <c r="K6" s="203"/>
      <c r="L6" s="203"/>
      <c r="M6" s="204"/>
      <c r="N6" s="205"/>
      <c r="O6" s="205"/>
      <c r="P6" s="205"/>
      <c r="Q6" s="206" t="s">
        <v>502</v>
      </c>
    </row>
    <row r="7" spans="1:17" ht="22.5" customHeight="1">
      <c r="A7" s="4"/>
      <c r="B7" s="5"/>
      <c r="C7" s="5"/>
      <c r="D7" s="5"/>
      <c r="E7" s="4"/>
      <c r="F7" s="4"/>
      <c r="G7" s="4"/>
      <c r="H7" s="4"/>
      <c r="I7" s="887" t="s">
        <v>949</v>
      </c>
      <c r="J7" s="887"/>
      <c r="K7" s="887"/>
      <c r="L7" s="887"/>
      <c r="M7" s="887"/>
      <c r="N7" s="887"/>
      <c r="O7" s="887"/>
      <c r="P7" s="887"/>
      <c r="Q7" s="887"/>
    </row>
    <row r="8" spans="1:17" ht="20.25">
      <c r="A8" s="4"/>
      <c r="B8" s="5"/>
      <c r="C8" s="5"/>
      <c r="D8" s="5"/>
      <c r="E8" s="4"/>
      <c r="F8" s="4"/>
      <c r="G8" s="4"/>
      <c r="H8" s="4"/>
      <c r="I8" s="4"/>
      <c r="J8" s="4"/>
      <c r="K8" s="4"/>
      <c r="L8" s="4"/>
      <c r="M8" s="4"/>
      <c r="N8" s="4"/>
      <c r="O8" s="4"/>
      <c r="P8" s="4"/>
      <c r="Q8" s="6"/>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3.25">
      <c r="A20" s="882" t="s">
        <v>941</v>
      </c>
      <c r="B20" s="882"/>
      <c r="C20" s="882"/>
      <c r="D20" s="882"/>
      <c r="E20" s="882"/>
      <c r="F20" s="882"/>
      <c r="G20" s="882"/>
      <c r="H20" s="882"/>
      <c r="I20" s="882"/>
      <c r="J20" s="882"/>
      <c r="K20" s="882"/>
      <c r="L20" s="882"/>
      <c r="M20" s="882"/>
      <c r="N20" s="882"/>
      <c r="O20" s="882"/>
      <c r="P20" s="882"/>
      <c r="Q20" s="882"/>
    </row>
    <row r="21" spans="1:17" ht="23.25">
      <c r="A21" s="882" t="s">
        <v>942</v>
      </c>
      <c r="B21" s="882"/>
      <c r="C21" s="882"/>
      <c r="D21" s="882"/>
      <c r="E21" s="882"/>
      <c r="F21" s="882"/>
      <c r="G21" s="882"/>
      <c r="H21" s="882"/>
      <c r="I21" s="882"/>
      <c r="J21" s="882"/>
      <c r="K21" s="882"/>
      <c r="L21" s="882"/>
      <c r="M21" s="882"/>
      <c r="N21" s="882"/>
      <c r="O21" s="882"/>
      <c r="P21" s="882"/>
      <c r="Q21" s="882"/>
    </row>
    <row r="22" spans="1:17" ht="23.25">
      <c r="A22" s="882" t="s">
        <v>948</v>
      </c>
      <c r="B22" s="882"/>
      <c r="C22" s="882"/>
      <c r="D22" s="882"/>
      <c r="E22" s="882"/>
      <c r="F22" s="882"/>
      <c r="G22" s="882"/>
      <c r="H22" s="882"/>
      <c r="I22" s="882"/>
      <c r="J22" s="882"/>
      <c r="K22" s="882"/>
      <c r="L22" s="882"/>
      <c r="M22" s="882"/>
      <c r="N22" s="882"/>
      <c r="O22" s="882"/>
      <c r="P22" s="882"/>
      <c r="Q22" s="882"/>
    </row>
    <row r="23" spans="1:17" ht="23.25">
      <c r="A23" s="14"/>
      <c r="B23" s="14"/>
      <c r="C23" s="14"/>
      <c r="D23" s="14"/>
      <c r="E23" s="14"/>
      <c r="F23" s="14"/>
      <c r="G23" s="14"/>
      <c r="H23" s="14"/>
      <c r="I23" s="14"/>
      <c r="J23" s="14"/>
      <c r="K23" s="14"/>
      <c r="L23" s="14"/>
      <c r="M23" s="14"/>
      <c r="N23" s="14"/>
      <c r="O23" s="14"/>
      <c r="P23" s="14"/>
      <c r="Q23" s="15"/>
    </row>
    <row r="24" spans="1:17" ht="20.25">
      <c r="A24" s="16"/>
      <c r="B24" s="5"/>
      <c r="C24" s="5"/>
      <c r="D24" s="5"/>
      <c r="E24" s="16"/>
      <c r="F24" s="16"/>
      <c r="G24" s="16"/>
      <c r="H24" s="16"/>
      <c r="I24" s="16"/>
      <c r="J24" s="16"/>
      <c r="K24" s="16"/>
      <c r="L24" s="16"/>
      <c r="M24" s="16"/>
      <c r="N24" s="16"/>
      <c r="O24" s="16"/>
      <c r="P24" s="16"/>
      <c r="Q24" s="17"/>
    </row>
    <row r="25" spans="1:17" ht="18" customHeight="1">
      <c r="A25" s="16" t="s">
        <v>2</v>
      </c>
      <c r="B25" s="5"/>
      <c r="C25" s="5"/>
      <c r="D25" s="5"/>
      <c r="E25" s="16"/>
      <c r="F25" s="16"/>
      <c r="G25" s="16"/>
      <c r="H25" s="16"/>
      <c r="I25" s="16"/>
      <c r="J25" s="16"/>
      <c r="K25" s="16"/>
      <c r="L25" s="16"/>
      <c r="M25" s="16"/>
      <c r="N25" s="16"/>
      <c r="O25" s="16"/>
      <c r="P25" s="16"/>
      <c r="Q25" s="17"/>
    </row>
    <row r="26" spans="1:17" ht="23.25">
      <c r="A26" s="16" t="s">
        <v>3</v>
      </c>
      <c r="B26" s="5"/>
      <c r="C26" s="18" t="s">
        <v>115</v>
      </c>
      <c r="D26" s="19"/>
      <c r="E26" s="20"/>
      <c r="F26" s="20"/>
      <c r="G26" s="20"/>
      <c r="H26" s="20"/>
      <c r="I26" s="20"/>
      <c r="J26" s="20"/>
      <c r="K26" s="20"/>
      <c r="L26" s="20"/>
      <c r="M26" s="20"/>
      <c r="N26" s="20"/>
      <c r="O26" s="20"/>
      <c r="P26" s="20"/>
      <c r="Q26" s="21"/>
    </row>
    <row r="27" spans="1:17" ht="20.25">
      <c r="A27" s="16"/>
      <c r="B27" s="5"/>
      <c r="C27" s="5"/>
      <c r="D27" s="5"/>
      <c r="E27" s="16"/>
      <c r="F27" s="16"/>
      <c r="G27" s="16"/>
      <c r="H27" s="16"/>
      <c r="I27" s="16"/>
      <c r="J27" s="16"/>
      <c r="K27" s="16"/>
      <c r="L27" s="16"/>
      <c r="M27" s="16"/>
      <c r="N27" s="16"/>
      <c r="O27" s="16"/>
      <c r="P27" s="16"/>
      <c r="Q27" s="17"/>
    </row>
    <row r="28" spans="1:17" ht="22.5" customHeight="1">
      <c r="A28" s="16" t="s">
        <v>4</v>
      </c>
      <c r="B28" s="18" t="s">
        <v>479</v>
      </c>
      <c r="C28" s="19"/>
      <c r="D28" s="19"/>
      <c r="E28" s="20"/>
      <c r="F28" s="20"/>
      <c r="G28" s="20"/>
      <c r="H28" s="20"/>
      <c r="I28" s="20"/>
      <c r="J28" s="20"/>
      <c r="K28" s="20"/>
      <c r="L28" s="20"/>
      <c r="M28" s="20"/>
      <c r="N28" s="16"/>
      <c r="O28" s="16"/>
      <c r="P28" s="16"/>
      <c r="Q28" s="17"/>
    </row>
    <row r="29" spans="1:17" ht="20.25">
      <c r="A29" s="16"/>
      <c r="B29" s="5"/>
      <c r="C29" s="5"/>
      <c r="D29" s="5"/>
      <c r="E29" s="16"/>
      <c r="F29" s="16"/>
      <c r="G29" s="16"/>
      <c r="H29" s="16"/>
      <c r="I29" s="16"/>
      <c r="J29" s="16"/>
      <c r="K29" s="16"/>
      <c r="L29" s="16"/>
      <c r="M29" s="16"/>
      <c r="N29" s="16"/>
      <c r="O29" s="16"/>
      <c r="P29" s="16"/>
      <c r="Q29" s="17"/>
    </row>
    <row r="30" spans="1:17" ht="18" customHeight="1">
      <c r="A30" s="22" t="s">
        <v>5</v>
      </c>
      <c r="E30" s="22"/>
      <c r="F30" s="22"/>
      <c r="G30" s="22"/>
      <c r="H30" s="22"/>
      <c r="I30" s="22"/>
      <c r="J30" s="22"/>
      <c r="K30" s="22"/>
      <c r="L30" s="22"/>
      <c r="M30" s="22"/>
      <c r="N30" s="22"/>
      <c r="O30" s="22"/>
      <c r="P30" s="22"/>
      <c r="Q30" s="23"/>
    </row>
    <row r="31" spans="1:17" customFormat="1" ht="15" hidden="1">
      <c r="A31" s="24"/>
      <c r="B31" s="25"/>
      <c r="C31" s="25"/>
      <c r="D31" s="25"/>
      <c r="E31" s="25"/>
      <c r="F31" s="883"/>
      <c r="G31" s="26"/>
      <c r="H31" s="26"/>
      <c r="I31" s="25"/>
      <c r="J31" s="883"/>
      <c r="K31" s="26"/>
      <c r="L31" s="26"/>
      <c r="M31" s="25"/>
      <c r="N31" s="883"/>
      <c r="O31" s="26"/>
      <c r="P31" s="26"/>
      <c r="Q31" s="27"/>
    </row>
    <row r="32" spans="1:17" customFormat="1" ht="45" hidden="1">
      <c r="A32" s="24" t="s">
        <v>6</v>
      </c>
      <c r="B32" s="25">
        <v>2620</v>
      </c>
      <c r="C32" s="25">
        <v>242</v>
      </c>
      <c r="D32" s="25"/>
      <c r="E32" s="25"/>
      <c r="F32" s="883"/>
      <c r="G32" s="26"/>
      <c r="H32" s="26"/>
      <c r="I32" s="25"/>
      <c r="J32" s="883"/>
      <c r="K32" s="26"/>
      <c r="L32" s="26"/>
      <c r="M32" s="25"/>
      <c r="N32" s="883"/>
      <c r="O32" s="26"/>
      <c r="P32" s="26"/>
      <c r="Q32" s="27"/>
    </row>
    <row r="33" spans="1:17" customFormat="1" ht="22.5" hidden="1" customHeight="1">
      <c r="A33" s="884" t="s">
        <v>7</v>
      </c>
      <c r="B33" s="885">
        <v>2630</v>
      </c>
      <c r="C33" s="885">
        <v>243</v>
      </c>
      <c r="D33" s="885"/>
      <c r="E33" s="885"/>
      <c r="F33" s="883"/>
      <c r="G33" s="26"/>
      <c r="H33" s="26"/>
      <c r="I33" s="885"/>
      <c r="J33" s="883"/>
      <c r="K33" s="26"/>
      <c r="L33" s="26"/>
      <c r="M33" s="885"/>
      <c r="N33" s="883"/>
      <c r="O33" s="26"/>
      <c r="P33" s="26"/>
      <c r="Q33" s="886"/>
    </row>
    <row r="34" spans="1:17" customFormat="1" ht="22.5" hidden="1" customHeight="1">
      <c r="A34" s="884"/>
      <c r="B34" s="885"/>
      <c r="C34" s="885"/>
      <c r="D34" s="885"/>
      <c r="E34" s="885"/>
      <c r="F34" s="26"/>
      <c r="G34" s="26"/>
      <c r="H34" s="26"/>
      <c r="I34" s="885"/>
      <c r="J34" s="26"/>
      <c r="K34" s="26"/>
      <c r="L34" s="26"/>
      <c r="M34" s="885"/>
      <c r="N34" s="26"/>
      <c r="O34" s="26"/>
      <c r="P34" s="26"/>
      <c r="Q34" s="886"/>
    </row>
  </sheetData>
  <mergeCells count="18">
    <mergeCell ref="I1:M1"/>
    <mergeCell ref="I3:Q3"/>
    <mergeCell ref="I4:M4"/>
    <mergeCell ref="A20:Q20"/>
    <mergeCell ref="I7:Q7"/>
    <mergeCell ref="A21:Q21"/>
    <mergeCell ref="A22:Q22"/>
    <mergeCell ref="F31:F33"/>
    <mergeCell ref="J31:J33"/>
    <mergeCell ref="N31:N33"/>
    <mergeCell ref="A33:A34"/>
    <mergeCell ref="B33:B34"/>
    <mergeCell ref="C33:C34"/>
    <mergeCell ref="D33:D34"/>
    <mergeCell ref="E33:E34"/>
    <mergeCell ref="I33:I34"/>
    <mergeCell ref="M33:M34"/>
    <mergeCell ref="Q33:Q34"/>
  </mergeCells>
  <hyperlinks>
    <hyperlink ref="A21" location="_edn1" display="(на 2021г. и плановый период 2022 и 2023 годов)"/>
    <hyperlink ref="A22" location="_edn2" display="от «__»__________2021г."/>
  </hyperlinks>
  <pageMargins left="0.78740157480314965" right="0.39370078740157483" top="0.39370078740157483" bottom="0.39370078740157483" header="0.31496062992125984" footer="0.31496062992125984"/>
  <pageSetup paperSize="9" scale="52"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48"/>
  <sheetViews>
    <sheetView view="pageBreakPreview" zoomScale="80" zoomScaleNormal="85" zoomScaleSheetLayoutView="80" workbookViewId="0">
      <selection activeCell="T24" sqref="T24"/>
    </sheetView>
  </sheetViews>
  <sheetFormatPr defaultColWidth="9.140625" defaultRowHeight="12.75"/>
  <cols>
    <col min="1" max="1" width="9.140625" style="75" bestFit="1" customWidth="1"/>
    <col min="2" max="2" width="29.28515625" style="75" customWidth="1"/>
    <col min="3" max="3" width="14.7109375" style="75" customWidth="1"/>
    <col min="4" max="4" width="11.85546875" style="75" customWidth="1"/>
    <col min="5" max="5" width="11" style="75" bestFit="1" customWidth="1"/>
    <col min="6" max="6" width="12.28515625" style="75" customWidth="1"/>
    <col min="7" max="7" width="16.7109375" style="75" customWidth="1"/>
    <col min="8" max="8" width="11.42578125" style="75" customWidth="1"/>
    <col min="9" max="9" width="14.42578125" style="75" customWidth="1"/>
    <col min="10" max="10" width="13.5703125" style="75" bestFit="1" customWidth="1"/>
    <col min="11" max="11" width="16.140625" style="75" customWidth="1"/>
    <col min="12" max="12" width="11.7109375" style="75" customWidth="1"/>
    <col min="13" max="13" width="9.140625" style="75"/>
    <col min="14" max="14" width="12.5703125" style="75" bestFit="1" customWidth="1"/>
    <col min="15" max="16384" width="9.140625" style="75"/>
  </cols>
  <sheetData>
    <row r="1" spans="1:16">
      <c r="A1" s="75" t="s">
        <v>260</v>
      </c>
    </row>
    <row r="3" spans="1:16">
      <c r="A3" s="75" t="s">
        <v>261</v>
      </c>
    </row>
    <row r="4" spans="1:16" s="77" customFormat="1" hidden="1">
      <c r="A4" s="77" t="s">
        <v>248</v>
      </c>
    </row>
    <row r="5" spans="1:16" hidden="1">
      <c r="B5" s="75" t="s">
        <v>479</v>
      </c>
    </row>
    <row r="6" spans="1:16" hidden="1">
      <c r="A6" s="75" t="s">
        <v>236</v>
      </c>
    </row>
    <row r="7" spans="1:16" hidden="1">
      <c r="A7" s="75" t="s">
        <v>262</v>
      </c>
    </row>
    <row r="8" spans="1:16" hidden="1">
      <c r="A8" s="75" t="s">
        <v>263</v>
      </c>
    </row>
    <row r="9" spans="1:16" ht="25.5" hidden="1" customHeight="1">
      <c r="A9" s="1060" t="s">
        <v>176</v>
      </c>
      <c r="B9" s="1060" t="s">
        <v>244</v>
      </c>
      <c r="C9" s="1052" t="s">
        <v>264</v>
      </c>
      <c r="D9" s="1062"/>
      <c r="E9" s="1062"/>
      <c r="F9" s="1053"/>
      <c r="G9" s="1052" t="s">
        <v>265</v>
      </c>
      <c r="H9" s="1062"/>
      <c r="I9" s="1062"/>
      <c r="J9" s="1053"/>
      <c r="K9" s="1052" t="s">
        <v>266</v>
      </c>
      <c r="L9" s="1062"/>
      <c r="M9" s="1062"/>
      <c r="N9" s="1053"/>
    </row>
    <row r="10" spans="1:16" ht="63.75" hidden="1">
      <c r="A10" s="1061"/>
      <c r="B10" s="1061"/>
      <c r="C10" s="728" t="s">
        <v>245</v>
      </c>
      <c r="D10" s="728" t="s">
        <v>256</v>
      </c>
      <c r="E10" s="728" t="s">
        <v>246</v>
      </c>
      <c r="F10" s="728" t="s">
        <v>247</v>
      </c>
      <c r="G10" s="728" t="s">
        <v>267</v>
      </c>
      <c r="H10" s="728" t="s">
        <v>256</v>
      </c>
      <c r="I10" s="728" t="s">
        <v>246</v>
      </c>
      <c r="J10" s="728" t="s">
        <v>247</v>
      </c>
      <c r="K10" s="728" t="s">
        <v>268</v>
      </c>
      <c r="L10" s="728" t="s">
        <v>256</v>
      </c>
      <c r="M10" s="728" t="s">
        <v>246</v>
      </c>
      <c r="N10" s="728" t="s">
        <v>247</v>
      </c>
    </row>
    <row r="11" spans="1:16" hidden="1">
      <c r="A11" s="728"/>
      <c r="B11" s="728"/>
      <c r="C11" s="90"/>
      <c r="D11" s="90"/>
      <c r="E11" s="90"/>
      <c r="F11" s="90"/>
      <c r="G11" s="90"/>
      <c r="H11" s="90"/>
      <c r="I11" s="90"/>
      <c r="J11" s="90"/>
      <c r="K11" s="90"/>
      <c r="L11" s="90"/>
      <c r="M11" s="90"/>
      <c r="N11" s="90"/>
    </row>
    <row r="12" spans="1:16">
      <c r="P12" s="75" t="s">
        <v>269</v>
      </c>
    </row>
    <row r="13" spans="1:16" s="84" customFormat="1">
      <c r="A13" s="84" t="s">
        <v>240</v>
      </c>
      <c r="D13" s="264"/>
    </row>
    <row r="15" spans="1:16">
      <c r="A15" s="75" t="s">
        <v>241</v>
      </c>
    </row>
    <row r="16" spans="1:16">
      <c r="A16" s="75" t="s">
        <v>855</v>
      </c>
    </row>
    <row r="17" spans="1:14">
      <c r="A17" s="75" t="s">
        <v>249</v>
      </c>
    </row>
    <row r="19" spans="1:14" ht="30.75" customHeight="1">
      <c r="A19" s="1046" t="s">
        <v>176</v>
      </c>
      <c r="B19" s="1046" t="s">
        <v>244</v>
      </c>
      <c r="C19" s="1046" t="s">
        <v>618</v>
      </c>
      <c r="D19" s="1046"/>
      <c r="E19" s="1046"/>
      <c r="F19" s="1046"/>
      <c r="G19" s="1046" t="s">
        <v>619</v>
      </c>
      <c r="H19" s="1046"/>
      <c r="I19" s="1046"/>
      <c r="J19" s="1046"/>
      <c r="K19" s="1046" t="s">
        <v>620</v>
      </c>
      <c r="L19" s="1046"/>
      <c r="M19" s="1046"/>
      <c r="N19" s="1046"/>
    </row>
    <row r="20" spans="1:14" ht="85.5" customHeight="1">
      <c r="A20" s="1046"/>
      <c r="B20" s="1046"/>
      <c r="C20" s="728" t="s">
        <v>245</v>
      </c>
      <c r="D20" s="728" t="s">
        <v>492</v>
      </c>
      <c r="E20" s="728" t="s">
        <v>491</v>
      </c>
      <c r="F20" s="728" t="s">
        <v>247</v>
      </c>
      <c r="G20" s="728" t="s">
        <v>245</v>
      </c>
      <c r="H20" s="728" t="s">
        <v>492</v>
      </c>
      <c r="I20" s="728" t="s">
        <v>491</v>
      </c>
      <c r="J20" s="728" t="s">
        <v>247</v>
      </c>
      <c r="K20" s="728" t="s">
        <v>245</v>
      </c>
      <c r="L20" s="728" t="s">
        <v>492</v>
      </c>
      <c r="M20" s="728" t="s">
        <v>491</v>
      </c>
      <c r="N20" s="728" t="s">
        <v>247</v>
      </c>
    </row>
    <row r="21" spans="1:14" ht="48" customHeight="1">
      <c r="A21" s="728">
        <v>1</v>
      </c>
      <c r="B21" s="734" t="s">
        <v>916</v>
      </c>
      <c r="C21" s="87" t="s">
        <v>493</v>
      </c>
      <c r="D21" s="287">
        <v>21</v>
      </c>
      <c r="E21" s="288">
        <v>6</v>
      </c>
      <c r="F21" s="289">
        <f>12600+40000</f>
        <v>52600</v>
      </c>
      <c r="G21" s="290">
        <v>0</v>
      </c>
      <c r="H21" s="734">
        <v>0</v>
      </c>
      <c r="I21" s="734">
        <v>0</v>
      </c>
      <c r="J21" s="96">
        <f t="shared" ref="J21:J22" si="0">G21*H21*I21</f>
        <v>0</v>
      </c>
      <c r="K21" s="96">
        <v>0</v>
      </c>
      <c r="L21" s="734">
        <v>0</v>
      </c>
      <c r="M21" s="734">
        <v>0</v>
      </c>
      <c r="N21" s="96">
        <f t="shared" ref="N21:N22" si="1">K21*L21*M21</f>
        <v>0</v>
      </c>
    </row>
    <row r="22" spans="1:14" ht="38.25">
      <c r="A22" s="728">
        <v>2</v>
      </c>
      <c r="B22" s="734" t="s">
        <v>917</v>
      </c>
      <c r="C22" s="729" t="s">
        <v>25</v>
      </c>
      <c r="D22" s="281">
        <v>2</v>
      </c>
      <c r="E22" s="281">
        <v>2</v>
      </c>
      <c r="F22" s="290">
        <v>7400</v>
      </c>
      <c r="G22" s="290">
        <v>0</v>
      </c>
      <c r="H22" s="734">
        <v>0</v>
      </c>
      <c r="I22" s="734">
        <v>0</v>
      </c>
      <c r="J22" s="96">
        <f t="shared" si="0"/>
        <v>0</v>
      </c>
      <c r="K22" s="96">
        <v>0</v>
      </c>
      <c r="L22" s="734">
        <v>0</v>
      </c>
      <c r="M22" s="734">
        <v>0</v>
      </c>
      <c r="N22" s="96">
        <f t="shared" si="1"/>
        <v>0</v>
      </c>
    </row>
    <row r="23" spans="1:14" s="809" customFormat="1" ht="76.5">
      <c r="A23" s="805" t="s">
        <v>405</v>
      </c>
      <c r="B23" s="805" t="s">
        <v>918</v>
      </c>
      <c r="C23" s="806">
        <v>3500</v>
      </c>
      <c r="D23" s="807">
        <v>1</v>
      </c>
      <c r="E23" s="807">
        <v>1</v>
      </c>
      <c r="F23" s="808">
        <f>C23*D23*E23</f>
        <v>3500</v>
      </c>
      <c r="G23" s="808">
        <v>0</v>
      </c>
      <c r="H23" s="805">
        <v>0</v>
      </c>
      <c r="I23" s="805">
        <v>0</v>
      </c>
      <c r="J23" s="806">
        <v>0</v>
      </c>
      <c r="K23" s="806">
        <v>0</v>
      </c>
      <c r="L23" s="805">
        <v>0</v>
      </c>
      <c r="M23" s="805">
        <v>0</v>
      </c>
      <c r="N23" s="806">
        <v>0</v>
      </c>
    </row>
    <row r="24" spans="1:14" s="809" customFormat="1" ht="76.5">
      <c r="A24" s="805" t="s">
        <v>820</v>
      </c>
      <c r="B24" s="805" t="s">
        <v>919</v>
      </c>
      <c r="C24" s="806">
        <v>3900</v>
      </c>
      <c r="D24" s="807">
        <v>1</v>
      </c>
      <c r="E24" s="807">
        <v>1</v>
      </c>
      <c r="F24" s="808">
        <f>C24*D24*E24</f>
        <v>3900</v>
      </c>
      <c r="G24" s="808">
        <v>0</v>
      </c>
      <c r="H24" s="805">
        <v>0</v>
      </c>
      <c r="I24" s="805">
        <v>0</v>
      </c>
      <c r="J24" s="806">
        <v>0</v>
      </c>
      <c r="K24" s="806">
        <v>0</v>
      </c>
      <c r="L24" s="805">
        <v>0</v>
      </c>
      <c r="M24" s="805">
        <v>0</v>
      </c>
      <c r="N24" s="806">
        <v>0</v>
      </c>
    </row>
    <row r="25" spans="1:14" ht="51">
      <c r="A25" s="728">
        <v>3</v>
      </c>
      <c r="B25" s="734" t="s">
        <v>920</v>
      </c>
      <c r="C25" s="729" t="s">
        <v>25</v>
      </c>
      <c r="D25" s="281">
        <v>1</v>
      </c>
      <c r="E25" s="281">
        <v>1</v>
      </c>
      <c r="F25" s="290">
        <f>F26+F27</f>
        <v>25257.3</v>
      </c>
      <c r="G25" s="290">
        <v>0</v>
      </c>
      <c r="H25" s="734">
        <v>0</v>
      </c>
      <c r="I25" s="734">
        <v>0</v>
      </c>
      <c r="J25" s="96">
        <v>0</v>
      </c>
      <c r="K25" s="96">
        <v>0</v>
      </c>
      <c r="L25" s="734">
        <v>0</v>
      </c>
      <c r="M25" s="734">
        <v>0</v>
      </c>
      <c r="N25" s="96">
        <v>0</v>
      </c>
    </row>
    <row r="26" spans="1:14" s="809" customFormat="1">
      <c r="A26" s="805" t="s">
        <v>923</v>
      </c>
      <c r="B26" s="805" t="s">
        <v>921</v>
      </c>
      <c r="C26" s="806">
        <f>10350</f>
        <v>10350</v>
      </c>
      <c r="D26" s="807">
        <v>1</v>
      </c>
      <c r="E26" s="807">
        <v>1</v>
      </c>
      <c r="F26" s="808">
        <f t="shared" ref="F26:F27" si="2">C26*D26*E26</f>
        <v>10350</v>
      </c>
      <c r="G26" s="808">
        <v>0</v>
      </c>
      <c r="H26" s="805">
        <v>0</v>
      </c>
      <c r="I26" s="805">
        <v>0</v>
      </c>
      <c r="J26" s="806">
        <v>0</v>
      </c>
      <c r="K26" s="806">
        <v>0</v>
      </c>
      <c r="L26" s="805">
        <v>0</v>
      </c>
      <c r="M26" s="805">
        <v>0</v>
      </c>
      <c r="N26" s="806">
        <v>0</v>
      </c>
    </row>
    <row r="27" spans="1:14" s="809" customFormat="1">
      <c r="A27" s="805" t="s">
        <v>924</v>
      </c>
      <c r="B27" s="805" t="s">
        <v>922</v>
      </c>
      <c r="C27" s="806">
        <f>6285+1155+732.3+450+6285</f>
        <v>14907.3</v>
      </c>
      <c r="D27" s="807">
        <v>1</v>
      </c>
      <c r="E27" s="807">
        <v>1</v>
      </c>
      <c r="F27" s="808">
        <f t="shared" si="2"/>
        <v>14907.3</v>
      </c>
      <c r="G27" s="808">
        <v>0</v>
      </c>
      <c r="H27" s="805">
        <v>0</v>
      </c>
      <c r="I27" s="805">
        <v>0</v>
      </c>
      <c r="J27" s="806">
        <v>0</v>
      </c>
      <c r="K27" s="806">
        <v>0</v>
      </c>
      <c r="L27" s="805">
        <v>0</v>
      </c>
      <c r="M27" s="805">
        <v>0</v>
      </c>
      <c r="N27" s="806">
        <v>0</v>
      </c>
    </row>
    <row r="28" spans="1:14" s="809" customFormat="1" ht="38.25">
      <c r="A28" s="812">
        <v>4</v>
      </c>
      <c r="B28" s="817" t="s">
        <v>917</v>
      </c>
      <c r="C28" s="813">
        <f>F28/D28</f>
        <v>18750</v>
      </c>
      <c r="D28" s="281">
        <v>16</v>
      </c>
      <c r="E28" s="281">
        <v>5</v>
      </c>
      <c r="F28" s="290">
        <v>300000</v>
      </c>
      <c r="G28" s="808">
        <v>0</v>
      </c>
      <c r="H28" s="805">
        <v>0</v>
      </c>
      <c r="I28" s="805">
        <v>0</v>
      </c>
      <c r="J28" s="806">
        <v>0</v>
      </c>
      <c r="K28" s="806">
        <v>0</v>
      </c>
      <c r="L28" s="805">
        <v>0</v>
      </c>
      <c r="M28" s="805">
        <v>0</v>
      </c>
      <c r="N28" s="806">
        <v>0</v>
      </c>
    </row>
    <row r="29" spans="1:14" s="71" customFormat="1">
      <c r="A29" s="68"/>
      <c r="B29" s="68" t="s">
        <v>254</v>
      </c>
      <c r="C29" s="810" t="s">
        <v>25</v>
      </c>
      <c r="D29" s="810" t="s">
        <v>25</v>
      </c>
      <c r="E29" s="810" t="s">
        <v>25</v>
      </c>
      <c r="F29" s="811">
        <f>F21+F22+F25+F28</f>
        <v>385257.3</v>
      </c>
      <c r="G29" s="810" t="s">
        <v>25</v>
      </c>
      <c r="H29" s="810" t="s">
        <v>25</v>
      </c>
      <c r="I29" s="810" t="s">
        <v>25</v>
      </c>
      <c r="J29" s="68">
        <f>SUM(J21:J22)</f>
        <v>0</v>
      </c>
      <c r="K29" s="810" t="s">
        <v>25</v>
      </c>
      <c r="L29" s="810" t="s">
        <v>25</v>
      </c>
      <c r="M29" s="810" t="s">
        <v>25</v>
      </c>
      <c r="N29" s="68">
        <f>SUM(N21:N22)</f>
        <v>0</v>
      </c>
    </row>
    <row r="30" spans="1:14">
      <c r="F30" s="78"/>
      <c r="J30" s="78"/>
      <c r="N30" s="78"/>
    </row>
    <row r="31" spans="1:14" s="84" customFormat="1"/>
    <row r="33" spans="1:11">
      <c r="F33" s="78">
        <f>F22+F25+F28</f>
        <v>332657.3</v>
      </c>
    </row>
    <row r="35" spans="1:11" ht="29.25" customHeight="1">
      <c r="A35" s="1059"/>
      <c r="B35" s="1059"/>
      <c r="C35" s="1059"/>
      <c r="D35" s="1059"/>
      <c r="E35" s="1059"/>
      <c r="F35" s="1059"/>
      <c r="G35" s="1059"/>
      <c r="H35" s="1059"/>
      <c r="I35" s="1059"/>
      <c r="J35" s="1059"/>
      <c r="K35" s="1059"/>
    </row>
    <row r="36" spans="1:11" ht="51" customHeight="1">
      <c r="A36" s="1059"/>
      <c r="B36" s="1059"/>
      <c r="C36" s="731"/>
      <c r="D36" s="731"/>
      <c r="E36" s="731"/>
      <c r="F36" s="731"/>
      <c r="G36" s="731"/>
      <c r="H36" s="731"/>
      <c r="I36" s="731"/>
      <c r="J36" s="731"/>
      <c r="K36" s="731"/>
    </row>
    <row r="37" spans="1:11">
      <c r="A37" s="267"/>
      <c r="B37" s="267"/>
      <c r="C37" s="268"/>
      <c r="D37" s="268"/>
      <c r="E37" s="268"/>
      <c r="F37" s="268"/>
      <c r="G37" s="268"/>
      <c r="H37" s="268"/>
      <c r="I37" s="268"/>
      <c r="J37" s="268"/>
      <c r="K37" s="268"/>
    </row>
    <row r="38" spans="1:11">
      <c r="A38" s="267"/>
      <c r="B38" s="267"/>
      <c r="C38" s="268"/>
      <c r="D38" s="268"/>
      <c r="E38" s="731"/>
      <c r="F38" s="268"/>
      <c r="G38" s="268"/>
      <c r="H38" s="268"/>
      <c r="I38" s="268"/>
      <c r="J38" s="268"/>
      <c r="K38" s="268"/>
    </row>
    <row r="39" spans="1:11" ht="12.75" customHeight="1"/>
    <row r="248" spans="6:7">
      <c r="F248"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226 112'!#REF!+#REF!+F149</f>
        <v>#REF!</v>
      </c>
      <c r="G248"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15">
    <mergeCell ref="A19:A20"/>
    <mergeCell ref="B19:B20"/>
    <mergeCell ref="C19:F19"/>
    <mergeCell ref="G19:J19"/>
    <mergeCell ref="K19:N19"/>
    <mergeCell ref="A9:A10"/>
    <mergeCell ref="B9:B10"/>
    <mergeCell ref="C9:F9"/>
    <mergeCell ref="G9:J9"/>
    <mergeCell ref="K9:N9"/>
    <mergeCell ref="A35:A36"/>
    <mergeCell ref="B35:B36"/>
    <mergeCell ref="C35:E35"/>
    <mergeCell ref="F35:H35"/>
    <mergeCell ref="I35:K35"/>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EZ87"/>
  <sheetViews>
    <sheetView view="pageBreakPreview" zoomScale="70" zoomScaleNormal="85" zoomScaleSheetLayoutView="70" zoomScalePageLayoutView="55" workbookViewId="0">
      <selection activeCell="O37" sqref="O37"/>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6380" s="464" customFormat="1">
      <c r="A1" s="374" t="s">
        <v>290</v>
      </c>
      <c r="B1" s="538"/>
      <c r="C1" s="538"/>
      <c r="D1" s="538"/>
      <c r="E1" s="538"/>
      <c r="F1" s="538"/>
      <c r="G1" s="538"/>
      <c r="H1" s="538"/>
      <c r="I1" s="538"/>
      <c r="J1" s="538"/>
      <c r="K1" s="538"/>
      <c r="L1" s="538"/>
      <c r="M1" s="538"/>
      <c r="N1" s="538"/>
      <c r="O1" s="538"/>
    </row>
    <row r="2" spans="1:16380" s="463" customFormat="1">
      <c r="A2" s="539" t="s">
        <v>235</v>
      </c>
      <c r="B2" s="540"/>
      <c r="C2" s="540"/>
      <c r="D2" s="540"/>
      <c r="E2" s="540"/>
      <c r="F2" s="540"/>
      <c r="G2" s="540"/>
      <c r="H2" s="540"/>
      <c r="I2" s="540"/>
      <c r="J2" s="540"/>
      <c r="K2" s="540"/>
      <c r="L2" s="540"/>
      <c r="M2" s="540"/>
      <c r="N2" s="540"/>
      <c r="O2" s="540"/>
    </row>
    <row r="3" spans="1:16380" s="464" customFormat="1">
      <c r="A3" s="374" t="s">
        <v>236</v>
      </c>
      <c r="B3" s="538"/>
      <c r="C3" s="538"/>
      <c r="D3" s="538"/>
      <c r="E3" s="538"/>
      <c r="F3" s="538"/>
      <c r="G3" s="538"/>
      <c r="H3" s="538"/>
      <c r="I3" s="538"/>
      <c r="J3" s="538"/>
      <c r="K3" s="538"/>
      <c r="L3" s="538"/>
      <c r="M3" s="538"/>
      <c r="N3" s="538"/>
      <c r="O3" s="538"/>
    </row>
    <row r="4" spans="1:16380" s="464" customFormat="1">
      <c r="A4" s="374" t="s">
        <v>856</v>
      </c>
      <c r="B4" s="538"/>
      <c r="C4" s="538"/>
      <c r="D4" s="538"/>
      <c r="E4" s="538"/>
      <c r="F4" s="538"/>
      <c r="G4" s="538"/>
      <c r="H4" s="538"/>
      <c r="I4" s="538"/>
      <c r="J4" s="538"/>
      <c r="K4" s="538"/>
      <c r="L4" s="538"/>
      <c r="M4" s="538"/>
      <c r="N4" s="538"/>
      <c r="O4" s="538"/>
    </row>
    <row r="5" spans="1:16380" s="464" customFormat="1">
      <c r="A5" s="374" t="s">
        <v>249</v>
      </c>
      <c r="B5" s="538"/>
      <c r="C5" s="538"/>
      <c r="D5" s="578"/>
      <c r="E5" s="538"/>
      <c r="F5" s="538"/>
      <c r="G5" s="538"/>
      <c r="H5" s="538"/>
      <c r="I5" s="538"/>
      <c r="J5" s="538"/>
      <c r="K5" s="538"/>
      <c r="L5" s="538"/>
      <c r="M5" s="538"/>
      <c r="N5" s="538"/>
      <c r="O5" s="538"/>
    </row>
    <row r="6" spans="1:16380" s="464" customFormat="1">
      <c r="A6" s="1065" t="s">
        <v>176</v>
      </c>
      <c r="B6" s="1065" t="s">
        <v>244</v>
      </c>
      <c r="C6" s="1065" t="s">
        <v>559</v>
      </c>
      <c r="D6" s="1065"/>
      <c r="E6" s="1065"/>
      <c r="F6" s="1065"/>
      <c r="G6" s="1065" t="s">
        <v>560</v>
      </c>
      <c r="H6" s="1065"/>
      <c r="I6" s="1065"/>
      <c r="J6" s="1065"/>
      <c r="K6" s="1065" t="s">
        <v>561</v>
      </c>
      <c r="L6" s="1065"/>
      <c r="M6" s="1065"/>
      <c r="N6" s="1065"/>
      <c r="O6" s="538"/>
    </row>
    <row r="7" spans="1:16380" s="464" customFormat="1" ht="65.25" customHeight="1">
      <c r="A7" s="1065"/>
      <c r="B7" s="1065"/>
      <c r="C7" s="705" t="s">
        <v>291</v>
      </c>
      <c r="D7" s="1066" t="s">
        <v>292</v>
      </c>
      <c r="E7" s="1067"/>
      <c r="F7" s="705" t="s">
        <v>293</v>
      </c>
      <c r="G7" s="705" t="s">
        <v>291</v>
      </c>
      <c r="H7" s="1066" t="s">
        <v>292</v>
      </c>
      <c r="I7" s="1067"/>
      <c r="J7" s="705" t="s">
        <v>293</v>
      </c>
      <c r="K7" s="705" t="s">
        <v>291</v>
      </c>
      <c r="L7" s="1066" t="s">
        <v>292</v>
      </c>
      <c r="M7" s="1067"/>
      <c r="N7" s="705" t="s">
        <v>293</v>
      </c>
      <c r="O7" s="538"/>
      <c r="P7" s="464" t="s">
        <v>294</v>
      </c>
    </row>
    <row r="8" spans="1:16380" s="464" customFormat="1" ht="38.25">
      <c r="A8" s="705">
        <v>1</v>
      </c>
      <c r="B8" s="706" t="s">
        <v>571</v>
      </c>
      <c r="C8" s="88" t="s">
        <v>25</v>
      </c>
      <c r="D8" s="1063" t="s">
        <v>25</v>
      </c>
      <c r="E8" s="1064"/>
      <c r="F8" s="88">
        <v>800</v>
      </c>
      <c r="G8" s="88" t="s">
        <v>25</v>
      </c>
      <c r="H8" s="1063" t="s">
        <v>25</v>
      </c>
      <c r="I8" s="1064"/>
      <c r="J8" s="88">
        <v>0</v>
      </c>
      <c r="K8" s="88" t="s">
        <v>25</v>
      </c>
      <c r="L8" s="1063" t="s">
        <v>25</v>
      </c>
      <c r="M8" s="1064"/>
      <c r="N8" s="88">
        <v>0</v>
      </c>
      <c r="O8" s="538"/>
    </row>
    <row r="9" spans="1:16380" s="464" customFormat="1" ht="38.25">
      <c r="A9" s="705">
        <v>2</v>
      </c>
      <c r="B9" s="706" t="s">
        <v>868</v>
      </c>
      <c r="C9" s="88">
        <v>33377286.77</v>
      </c>
      <c r="D9" s="1078">
        <v>1.5E-3</v>
      </c>
      <c r="E9" s="1079"/>
      <c r="F9" s="88">
        <v>50065.93</v>
      </c>
      <c r="G9" s="88">
        <v>24782092.879999999</v>
      </c>
      <c r="H9" s="1078">
        <v>1.5E-3</v>
      </c>
      <c r="I9" s="1079"/>
      <c r="J9" s="88">
        <v>37173.14</v>
      </c>
      <c r="K9" s="88">
        <v>31978747.210000001</v>
      </c>
      <c r="L9" s="1078">
        <v>1.5E-3</v>
      </c>
      <c r="M9" s="1079"/>
      <c r="N9" s="88">
        <v>40682.78</v>
      </c>
      <c r="O9" s="538"/>
    </row>
    <row r="10" spans="1:16380" s="464" customFormat="1">
      <c r="A10" s="705"/>
      <c r="B10" s="705" t="s">
        <v>254</v>
      </c>
      <c r="C10" s="88" t="s">
        <v>25</v>
      </c>
      <c r="D10" s="1063" t="s">
        <v>25</v>
      </c>
      <c r="E10" s="1064"/>
      <c r="F10" s="88">
        <f>SUM(F8:F9)</f>
        <v>50865.93</v>
      </c>
      <c r="G10" s="88" t="s">
        <v>25</v>
      </c>
      <c r="H10" s="1063" t="s">
        <v>25</v>
      </c>
      <c r="I10" s="1064"/>
      <c r="J10" s="88">
        <f>J9</f>
        <v>37173.14</v>
      </c>
      <c r="K10" s="88" t="s">
        <v>25</v>
      </c>
      <c r="L10" s="1063" t="s">
        <v>25</v>
      </c>
      <c r="M10" s="1064"/>
      <c r="N10" s="88">
        <f>N9</f>
        <v>40682.78</v>
      </c>
      <c r="O10" s="538"/>
    </row>
    <row r="11" spans="1:16380">
      <c r="A11" s="535"/>
      <c r="B11" s="535"/>
      <c r="C11" s="536"/>
      <c r="D11" s="581"/>
      <c r="E11" s="581"/>
      <c r="F11" s="536"/>
      <c r="G11" s="536"/>
      <c r="H11" s="581"/>
      <c r="I11" s="581"/>
      <c r="J11" s="536"/>
      <c r="K11" s="536"/>
      <c r="L11" s="581"/>
      <c r="M11" s="581"/>
      <c r="N11" s="536"/>
      <c r="O11" s="538"/>
    </row>
    <row r="12" spans="1:16380" s="474" customFormat="1">
      <c r="A12" s="543" t="s">
        <v>240</v>
      </c>
      <c r="B12" s="543"/>
      <c r="C12" s="543"/>
      <c r="D12" s="543"/>
      <c r="E12" s="543"/>
      <c r="F12" s="582"/>
      <c r="G12" s="543"/>
      <c r="H12" s="543"/>
      <c r="I12" s="543"/>
      <c r="J12" s="543"/>
      <c r="K12" s="543"/>
      <c r="L12" s="543"/>
      <c r="M12" s="543"/>
      <c r="N12" s="543"/>
      <c r="O12" s="54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3"/>
      <c r="AY12" s="473"/>
      <c r="AZ12" s="473"/>
      <c r="BA12" s="473"/>
      <c r="BB12" s="473"/>
      <c r="BC12" s="473"/>
      <c r="BD12" s="473"/>
      <c r="BE12" s="473"/>
      <c r="BF12" s="473"/>
      <c r="BG12" s="473"/>
      <c r="BH12" s="473"/>
      <c r="BI12" s="473"/>
      <c r="BJ12" s="473"/>
      <c r="BK12" s="473"/>
      <c r="BL12" s="473"/>
      <c r="BM12" s="473"/>
      <c r="BN12" s="473"/>
      <c r="BO12" s="473"/>
      <c r="BP12" s="473"/>
      <c r="BQ12" s="473"/>
      <c r="BR12" s="473"/>
      <c r="BS12" s="473"/>
      <c r="BT12" s="473"/>
      <c r="BU12" s="473"/>
      <c r="BV12" s="473"/>
      <c r="BW12" s="473"/>
      <c r="BX12" s="473"/>
      <c r="BY12" s="473"/>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3"/>
      <c r="DF12" s="473"/>
      <c r="DG12" s="473"/>
      <c r="DH12" s="473"/>
      <c r="DI12" s="473"/>
      <c r="DJ12" s="473"/>
      <c r="DK12" s="473"/>
      <c r="DL12" s="473"/>
      <c r="DM12" s="473"/>
      <c r="DN12" s="473"/>
      <c r="DO12" s="473"/>
      <c r="DP12" s="473"/>
      <c r="DQ12" s="473"/>
      <c r="DR12" s="473"/>
      <c r="DS12" s="473"/>
      <c r="DT12" s="473"/>
      <c r="DU12" s="473"/>
      <c r="DV12" s="473"/>
      <c r="DW12" s="473"/>
      <c r="DX12" s="473"/>
      <c r="DY12" s="473"/>
      <c r="DZ12" s="473"/>
      <c r="EA12" s="473"/>
      <c r="EB12" s="473"/>
      <c r="EC12" s="473"/>
      <c r="ED12" s="473"/>
      <c r="EE12" s="473"/>
      <c r="EF12" s="473"/>
      <c r="EG12" s="473"/>
      <c r="EH12" s="473"/>
      <c r="EI12" s="473"/>
      <c r="EJ12" s="473"/>
      <c r="EK12" s="473"/>
      <c r="EL12" s="473"/>
      <c r="EM12" s="473"/>
      <c r="EN12" s="473"/>
      <c r="EO12" s="473"/>
      <c r="EP12" s="473"/>
      <c r="EQ12" s="473"/>
      <c r="ER12" s="473"/>
      <c r="ES12" s="473"/>
      <c r="ET12" s="473"/>
      <c r="EU12" s="473"/>
      <c r="EV12" s="473"/>
      <c r="EW12" s="473"/>
      <c r="EX12" s="473"/>
      <c r="EY12" s="473"/>
      <c r="EZ12" s="473"/>
      <c r="FA12" s="473"/>
      <c r="FB12" s="473"/>
      <c r="FC12" s="473"/>
      <c r="FD12" s="473"/>
      <c r="FE12" s="473"/>
      <c r="FF12" s="473"/>
      <c r="FG12" s="473"/>
      <c r="FH12" s="473"/>
      <c r="FI12" s="473"/>
      <c r="FJ12" s="473"/>
      <c r="FK12" s="473"/>
      <c r="FL12" s="473"/>
      <c r="FM12" s="473"/>
      <c r="FN12" s="473"/>
      <c r="FO12" s="473"/>
      <c r="FP12" s="473"/>
      <c r="FQ12" s="473"/>
      <c r="FR12" s="473"/>
      <c r="FS12" s="473"/>
      <c r="FT12" s="473"/>
      <c r="FU12" s="473"/>
      <c r="FV12" s="473"/>
      <c r="FW12" s="473"/>
      <c r="FX12" s="473"/>
      <c r="FY12" s="473"/>
      <c r="FZ12" s="473"/>
      <c r="GA12" s="473"/>
      <c r="GB12" s="473"/>
      <c r="GC12" s="473"/>
      <c r="GD12" s="473"/>
      <c r="GE12" s="473"/>
      <c r="GF12" s="473"/>
      <c r="GG12" s="473"/>
      <c r="GH12" s="473"/>
      <c r="GI12" s="473"/>
      <c r="GJ12" s="473"/>
      <c r="GK12" s="473"/>
      <c r="GL12" s="473"/>
      <c r="GM12" s="473"/>
      <c r="GN12" s="473"/>
      <c r="GO12" s="473"/>
      <c r="GP12" s="473"/>
      <c r="GQ12" s="473"/>
      <c r="GR12" s="473"/>
      <c r="GS12" s="473"/>
      <c r="GT12" s="473"/>
      <c r="GU12" s="473"/>
      <c r="GV12" s="473"/>
      <c r="GW12" s="473"/>
      <c r="GX12" s="473"/>
      <c r="GY12" s="473"/>
      <c r="GZ12" s="473"/>
      <c r="HA12" s="473"/>
      <c r="HB12" s="473"/>
      <c r="HC12" s="473"/>
      <c r="HD12" s="473"/>
      <c r="HE12" s="473"/>
      <c r="HF12" s="473"/>
      <c r="HG12" s="473"/>
      <c r="HH12" s="473"/>
      <c r="HI12" s="473"/>
      <c r="HJ12" s="473"/>
      <c r="HK12" s="473"/>
      <c r="HL12" s="473"/>
      <c r="HM12" s="473"/>
      <c r="HN12" s="473"/>
      <c r="HO12" s="473"/>
      <c r="HP12" s="473"/>
      <c r="HQ12" s="473"/>
      <c r="HR12" s="473"/>
      <c r="HS12" s="473"/>
      <c r="HT12" s="473"/>
      <c r="HU12" s="473"/>
      <c r="HV12" s="473"/>
      <c r="HW12" s="473"/>
      <c r="HX12" s="473"/>
      <c r="HY12" s="473"/>
      <c r="HZ12" s="473"/>
      <c r="IA12" s="473"/>
      <c r="IB12" s="473"/>
      <c r="IC12" s="473"/>
      <c r="ID12" s="473"/>
      <c r="IE12" s="473"/>
      <c r="IF12" s="473"/>
      <c r="IG12" s="473"/>
      <c r="IH12" s="473"/>
      <c r="II12" s="473"/>
      <c r="IJ12" s="473"/>
      <c r="IK12" s="473"/>
      <c r="IL12" s="473"/>
      <c r="IM12" s="473"/>
      <c r="IN12" s="473"/>
      <c r="IO12" s="473"/>
      <c r="IP12" s="473"/>
      <c r="IQ12" s="473"/>
      <c r="IR12" s="473"/>
      <c r="IS12" s="473"/>
      <c r="IT12" s="473"/>
      <c r="IU12" s="473"/>
      <c r="IV12" s="473"/>
      <c r="IW12" s="473"/>
      <c r="IX12" s="473"/>
      <c r="IY12" s="473"/>
      <c r="IZ12" s="473"/>
      <c r="JA12" s="473"/>
      <c r="JB12" s="473"/>
      <c r="JC12" s="473"/>
      <c r="JD12" s="473"/>
      <c r="JE12" s="473"/>
      <c r="JF12" s="473"/>
      <c r="JG12" s="473"/>
      <c r="JH12" s="473"/>
      <c r="JI12" s="473"/>
      <c r="JJ12" s="473"/>
      <c r="JK12" s="473"/>
      <c r="JL12" s="473"/>
      <c r="JM12" s="473"/>
      <c r="JN12" s="473"/>
      <c r="JO12" s="473"/>
      <c r="JP12" s="473"/>
      <c r="JQ12" s="473"/>
      <c r="JR12" s="473"/>
      <c r="JS12" s="473"/>
      <c r="JT12" s="473"/>
      <c r="JU12" s="473"/>
      <c r="JV12" s="473"/>
      <c r="JW12" s="473"/>
      <c r="JX12" s="473"/>
      <c r="JY12" s="473"/>
      <c r="JZ12" s="473"/>
      <c r="KA12" s="473"/>
      <c r="KB12" s="473"/>
      <c r="KC12" s="473"/>
      <c r="KD12" s="473"/>
      <c r="KE12" s="473"/>
      <c r="KF12" s="473"/>
      <c r="KG12" s="473"/>
      <c r="KH12" s="473"/>
      <c r="KI12" s="473"/>
      <c r="KJ12" s="473"/>
      <c r="KK12" s="473"/>
      <c r="KL12" s="473"/>
      <c r="KM12" s="473"/>
      <c r="KN12" s="473"/>
      <c r="KO12" s="473"/>
      <c r="KP12" s="473"/>
      <c r="KQ12" s="473"/>
      <c r="KR12" s="473"/>
      <c r="KS12" s="473"/>
      <c r="KT12" s="473"/>
      <c r="KU12" s="473"/>
      <c r="KV12" s="473"/>
      <c r="KW12" s="473"/>
      <c r="KX12" s="473"/>
      <c r="KY12" s="473"/>
      <c r="KZ12" s="473"/>
      <c r="LA12" s="473"/>
      <c r="LB12" s="473"/>
      <c r="LC12" s="473"/>
      <c r="LD12" s="473"/>
      <c r="LE12" s="473"/>
      <c r="LF12" s="473"/>
      <c r="LG12" s="473"/>
      <c r="LH12" s="473"/>
      <c r="LI12" s="473"/>
      <c r="LJ12" s="473"/>
      <c r="LK12" s="473"/>
      <c r="LL12" s="473"/>
      <c r="LM12" s="473"/>
      <c r="LN12" s="473"/>
      <c r="LO12" s="473"/>
      <c r="LP12" s="473"/>
      <c r="LQ12" s="473"/>
      <c r="LR12" s="473"/>
      <c r="LS12" s="473"/>
      <c r="LT12" s="473"/>
      <c r="LU12" s="473"/>
      <c r="LV12" s="473"/>
      <c r="LW12" s="473"/>
      <c r="LX12" s="473"/>
      <c r="LY12" s="473"/>
      <c r="LZ12" s="473"/>
      <c r="MA12" s="473"/>
      <c r="MB12" s="473"/>
      <c r="MC12" s="473"/>
      <c r="MD12" s="473"/>
      <c r="ME12" s="473"/>
      <c r="MF12" s="473"/>
      <c r="MG12" s="473"/>
      <c r="MH12" s="473"/>
      <c r="MI12" s="473"/>
      <c r="MJ12" s="473"/>
      <c r="MK12" s="473"/>
      <c r="ML12" s="473"/>
      <c r="MM12" s="473"/>
      <c r="MN12" s="473"/>
      <c r="MO12" s="473"/>
      <c r="MP12" s="473"/>
      <c r="MQ12" s="473"/>
      <c r="MR12" s="473"/>
      <c r="MS12" s="473"/>
      <c r="MT12" s="473"/>
      <c r="MU12" s="473"/>
      <c r="MV12" s="473"/>
      <c r="MW12" s="473"/>
      <c r="MX12" s="473"/>
      <c r="MY12" s="473"/>
      <c r="MZ12" s="473"/>
      <c r="NA12" s="473"/>
      <c r="NB12" s="473"/>
      <c r="NC12" s="473"/>
      <c r="ND12" s="473"/>
      <c r="NE12" s="473"/>
      <c r="NF12" s="473"/>
      <c r="NG12" s="473"/>
      <c r="NH12" s="473"/>
      <c r="NI12" s="473"/>
      <c r="NJ12" s="473"/>
      <c r="NK12" s="473"/>
      <c r="NL12" s="473"/>
      <c r="NM12" s="473"/>
      <c r="NN12" s="473"/>
      <c r="NO12" s="473"/>
      <c r="NP12" s="473"/>
      <c r="NQ12" s="473"/>
      <c r="NR12" s="473"/>
      <c r="NS12" s="473"/>
      <c r="NT12" s="473"/>
      <c r="NU12" s="473"/>
      <c r="NV12" s="473"/>
      <c r="NW12" s="473"/>
      <c r="NX12" s="473"/>
      <c r="NY12" s="473"/>
      <c r="NZ12" s="473"/>
      <c r="OA12" s="473"/>
      <c r="OB12" s="473"/>
      <c r="OC12" s="473"/>
      <c r="OD12" s="473"/>
      <c r="OE12" s="473"/>
      <c r="OF12" s="473"/>
      <c r="OG12" s="473"/>
      <c r="OH12" s="473"/>
      <c r="OI12" s="473"/>
      <c r="OJ12" s="473"/>
      <c r="OK12" s="473"/>
      <c r="OL12" s="473"/>
      <c r="OM12" s="473"/>
      <c r="ON12" s="473"/>
      <c r="OO12" s="473"/>
      <c r="OP12" s="473"/>
      <c r="OQ12" s="473"/>
      <c r="OR12" s="473"/>
      <c r="OS12" s="473"/>
      <c r="OT12" s="473"/>
      <c r="OU12" s="473"/>
      <c r="OV12" s="473"/>
      <c r="OW12" s="473"/>
      <c r="OX12" s="473"/>
      <c r="OY12" s="473"/>
      <c r="OZ12" s="473"/>
      <c r="PA12" s="473"/>
      <c r="PB12" s="473"/>
      <c r="PC12" s="473"/>
      <c r="PD12" s="473"/>
      <c r="PE12" s="473"/>
      <c r="PF12" s="473"/>
      <c r="PG12" s="473"/>
      <c r="PH12" s="473"/>
      <c r="PI12" s="473"/>
      <c r="PJ12" s="473"/>
      <c r="PK12" s="473"/>
      <c r="PL12" s="473"/>
      <c r="PM12" s="473"/>
      <c r="PN12" s="473"/>
      <c r="PO12" s="473"/>
      <c r="PP12" s="473"/>
      <c r="PQ12" s="473"/>
      <c r="PR12" s="473"/>
      <c r="PS12" s="473"/>
      <c r="PT12" s="473"/>
      <c r="PU12" s="473"/>
      <c r="PV12" s="473"/>
      <c r="PW12" s="473"/>
      <c r="PX12" s="473"/>
      <c r="PY12" s="473"/>
      <c r="PZ12" s="473"/>
      <c r="QA12" s="473"/>
      <c r="QB12" s="473"/>
      <c r="QC12" s="473"/>
      <c r="QD12" s="473"/>
      <c r="QE12" s="473"/>
      <c r="QF12" s="473"/>
      <c r="QG12" s="473"/>
      <c r="QH12" s="473"/>
      <c r="QI12" s="473"/>
      <c r="QJ12" s="473"/>
      <c r="QK12" s="473"/>
      <c r="QL12" s="473"/>
      <c r="QM12" s="473"/>
      <c r="QN12" s="473"/>
      <c r="QO12" s="473"/>
      <c r="QP12" s="473"/>
      <c r="QQ12" s="473"/>
      <c r="QR12" s="473"/>
      <c r="QS12" s="473"/>
      <c r="QT12" s="473"/>
      <c r="QU12" s="473"/>
      <c r="QV12" s="473"/>
      <c r="QW12" s="473"/>
      <c r="QX12" s="473"/>
      <c r="QY12" s="473"/>
      <c r="QZ12" s="473"/>
      <c r="RA12" s="473"/>
      <c r="RB12" s="473"/>
      <c r="RC12" s="473"/>
      <c r="RD12" s="473"/>
      <c r="RE12" s="473"/>
      <c r="RF12" s="473"/>
      <c r="RG12" s="473"/>
      <c r="RH12" s="473"/>
      <c r="RI12" s="473"/>
      <c r="RJ12" s="473"/>
      <c r="RK12" s="473"/>
      <c r="RL12" s="473"/>
      <c r="RM12" s="473"/>
      <c r="RN12" s="473"/>
      <c r="RO12" s="473"/>
      <c r="RP12" s="473"/>
      <c r="RQ12" s="473"/>
      <c r="RR12" s="473"/>
      <c r="RS12" s="473"/>
      <c r="RT12" s="473"/>
      <c r="RU12" s="473"/>
      <c r="RV12" s="473"/>
      <c r="RW12" s="473"/>
      <c r="RX12" s="473"/>
      <c r="RY12" s="473"/>
      <c r="RZ12" s="473"/>
      <c r="SA12" s="473"/>
      <c r="SB12" s="473"/>
      <c r="SC12" s="473"/>
      <c r="SD12" s="473"/>
      <c r="SE12" s="473"/>
      <c r="SF12" s="473"/>
      <c r="SG12" s="473"/>
      <c r="SH12" s="473"/>
      <c r="SI12" s="473"/>
      <c r="SJ12" s="473"/>
      <c r="SK12" s="473"/>
      <c r="SL12" s="473"/>
      <c r="SM12" s="473"/>
      <c r="SN12" s="473"/>
      <c r="SO12" s="473"/>
      <c r="SP12" s="473"/>
      <c r="SQ12" s="473"/>
      <c r="SR12" s="473"/>
      <c r="SS12" s="473"/>
      <c r="ST12" s="473"/>
      <c r="SU12" s="473"/>
      <c r="SV12" s="473"/>
      <c r="SW12" s="473"/>
      <c r="SX12" s="473"/>
      <c r="SY12" s="473"/>
      <c r="SZ12" s="473"/>
      <c r="TA12" s="473"/>
      <c r="TB12" s="473"/>
      <c r="TC12" s="473"/>
      <c r="TD12" s="473"/>
      <c r="TE12" s="473"/>
      <c r="TF12" s="473"/>
      <c r="TG12" s="473"/>
      <c r="TH12" s="473"/>
      <c r="TI12" s="473"/>
      <c r="TJ12" s="473"/>
      <c r="TK12" s="473"/>
      <c r="TL12" s="473"/>
      <c r="TM12" s="473"/>
      <c r="TN12" s="473"/>
      <c r="TO12" s="473"/>
      <c r="TP12" s="473"/>
      <c r="TQ12" s="473"/>
      <c r="TR12" s="473"/>
      <c r="TS12" s="473"/>
      <c r="TT12" s="473"/>
      <c r="TU12" s="473"/>
      <c r="TV12" s="473"/>
      <c r="TW12" s="473"/>
      <c r="TX12" s="473"/>
      <c r="TY12" s="473"/>
      <c r="TZ12" s="473"/>
      <c r="UA12" s="473"/>
      <c r="UB12" s="473"/>
      <c r="UC12" s="473"/>
      <c r="UD12" s="473"/>
      <c r="UE12" s="473"/>
      <c r="UF12" s="473"/>
      <c r="UG12" s="473"/>
      <c r="UH12" s="473"/>
      <c r="UI12" s="473"/>
      <c r="UJ12" s="473"/>
      <c r="UK12" s="473"/>
      <c r="UL12" s="473"/>
      <c r="UM12" s="473"/>
      <c r="UN12" s="473"/>
      <c r="UO12" s="473"/>
      <c r="UP12" s="473"/>
      <c r="UQ12" s="473"/>
      <c r="UR12" s="473"/>
      <c r="US12" s="473"/>
      <c r="UT12" s="473"/>
      <c r="UU12" s="473"/>
      <c r="UV12" s="473"/>
      <c r="UW12" s="473"/>
      <c r="UX12" s="473"/>
      <c r="UY12" s="473"/>
      <c r="UZ12" s="473"/>
      <c r="VA12" s="473"/>
      <c r="VB12" s="473"/>
      <c r="VC12" s="473"/>
      <c r="VD12" s="473"/>
      <c r="VE12" s="473"/>
      <c r="VF12" s="473"/>
      <c r="VG12" s="473"/>
      <c r="VH12" s="473"/>
      <c r="VI12" s="473"/>
      <c r="VJ12" s="473"/>
      <c r="VK12" s="473"/>
      <c r="VL12" s="473"/>
      <c r="VM12" s="473"/>
      <c r="VN12" s="473"/>
      <c r="VO12" s="473"/>
      <c r="VP12" s="473"/>
      <c r="VQ12" s="473"/>
      <c r="VR12" s="473"/>
      <c r="VS12" s="473"/>
      <c r="VT12" s="473"/>
      <c r="VU12" s="473"/>
      <c r="VV12" s="473"/>
      <c r="VW12" s="473"/>
      <c r="VX12" s="473"/>
      <c r="VY12" s="473"/>
      <c r="VZ12" s="473"/>
      <c r="WA12" s="473"/>
      <c r="WB12" s="473"/>
      <c r="WC12" s="473"/>
      <c r="WD12" s="473"/>
      <c r="WE12" s="473"/>
      <c r="WF12" s="473"/>
      <c r="WG12" s="473"/>
      <c r="WH12" s="473"/>
      <c r="WI12" s="473"/>
      <c r="WJ12" s="473"/>
      <c r="WK12" s="473"/>
      <c r="WL12" s="473"/>
      <c r="WM12" s="473"/>
      <c r="WN12" s="473"/>
      <c r="WO12" s="473"/>
      <c r="WP12" s="473"/>
      <c r="WQ12" s="473"/>
      <c r="WR12" s="473"/>
      <c r="WS12" s="473"/>
      <c r="WT12" s="473"/>
      <c r="WU12" s="473"/>
      <c r="WV12" s="473"/>
      <c r="WW12" s="473"/>
      <c r="WX12" s="473"/>
      <c r="WY12" s="473"/>
      <c r="WZ12" s="473"/>
      <c r="XA12" s="473"/>
      <c r="XB12" s="473"/>
      <c r="XC12" s="473"/>
      <c r="XD12" s="473"/>
      <c r="XE12" s="473"/>
      <c r="XF12" s="473"/>
      <c r="XG12" s="473"/>
      <c r="XH12" s="473"/>
      <c r="XI12" s="473"/>
      <c r="XJ12" s="473"/>
      <c r="XK12" s="473"/>
      <c r="XL12" s="473"/>
      <c r="XM12" s="473"/>
      <c r="XN12" s="473"/>
      <c r="XO12" s="473"/>
      <c r="XP12" s="473"/>
      <c r="XQ12" s="473"/>
      <c r="XR12" s="473"/>
      <c r="XS12" s="473"/>
      <c r="XT12" s="473"/>
      <c r="XU12" s="473"/>
      <c r="XV12" s="473"/>
      <c r="XW12" s="473"/>
      <c r="XX12" s="473"/>
      <c r="XY12" s="473"/>
      <c r="XZ12" s="473"/>
      <c r="YA12" s="473"/>
      <c r="YB12" s="473"/>
      <c r="YC12" s="473"/>
      <c r="YD12" s="473"/>
      <c r="YE12" s="473"/>
      <c r="YF12" s="473"/>
      <c r="YG12" s="473"/>
      <c r="YH12" s="473"/>
      <c r="YI12" s="473"/>
      <c r="YJ12" s="473"/>
      <c r="YK12" s="473"/>
      <c r="YL12" s="473"/>
      <c r="YM12" s="473"/>
      <c r="YN12" s="473"/>
      <c r="YO12" s="473"/>
      <c r="YP12" s="473"/>
      <c r="YQ12" s="473"/>
      <c r="YR12" s="473"/>
      <c r="YS12" s="473"/>
      <c r="YT12" s="473"/>
      <c r="YU12" s="473"/>
      <c r="YV12" s="473"/>
      <c r="YW12" s="473"/>
      <c r="YX12" s="473"/>
      <c r="YY12" s="473"/>
      <c r="YZ12" s="473"/>
      <c r="ZA12" s="473"/>
      <c r="ZB12" s="473"/>
      <c r="ZC12" s="473"/>
      <c r="ZD12" s="473"/>
      <c r="ZE12" s="473"/>
      <c r="ZF12" s="473"/>
      <c r="ZG12" s="473"/>
      <c r="ZH12" s="473"/>
      <c r="ZI12" s="473"/>
      <c r="ZJ12" s="473"/>
      <c r="ZK12" s="473"/>
      <c r="ZL12" s="473"/>
      <c r="ZM12" s="473"/>
      <c r="ZN12" s="473"/>
      <c r="ZO12" s="473"/>
      <c r="ZP12" s="473"/>
      <c r="ZQ12" s="473"/>
      <c r="ZR12" s="473"/>
      <c r="ZS12" s="473"/>
      <c r="ZT12" s="473"/>
      <c r="ZU12" s="473"/>
      <c r="ZV12" s="473"/>
      <c r="ZW12" s="473"/>
      <c r="ZX12" s="473"/>
      <c r="ZY12" s="473"/>
      <c r="ZZ12" s="473"/>
      <c r="AAA12" s="473"/>
      <c r="AAB12" s="473"/>
      <c r="AAC12" s="473"/>
      <c r="AAD12" s="473"/>
      <c r="AAE12" s="473"/>
      <c r="AAF12" s="473"/>
      <c r="AAG12" s="473"/>
      <c r="AAH12" s="473"/>
      <c r="AAI12" s="473"/>
      <c r="AAJ12" s="473"/>
      <c r="AAK12" s="473"/>
      <c r="AAL12" s="473"/>
      <c r="AAM12" s="473"/>
      <c r="AAN12" s="473"/>
      <c r="AAO12" s="473"/>
      <c r="AAP12" s="473"/>
      <c r="AAQ12" s="473"/>
      <c r="AAR12" s="473"/>
      <c r="AAS12" s="473"/>
      <c r="AAT12" s="473"/>
      <c r="AAU12" s="473"/>
      <c r="AAV12" s="473"/>
      <c r="AAW12" s="473"/>
      <c r="AAX12" s="473"/>
      <c r="AAY12" s="473"/>
      <c r="AAZ12" s="473"/>
      <c r="ABA12" s="473"/>
      <c r="ABB12" s="473"/>
      <c r="ABC12" s="473"/>
      <c r="ABD12" s="473"/>
      <c r="ABE12" s="473"/>
      <c r="ABF12" s="473"/>
      <c r="ABG12" s="473"/>
      <c r="ABH12" s="473"/>
      <c r="ABI12" s="473"/>
      <c r="ABJ12" s="473"/>
      <c r="ABK12" s="473"/>
      <c r="ABL12" s="473"/>
      <c r="ABM12" s="473"/>
      <c r="ABN12" s="473"/>
      <c r="ABO12" s="473"/>
      <c r="ABP12" s="473"/>
      <c r="ABQ12" s="473"/>
      <c r="ABR12" s="473"/>
      <c r="ABS12" s="473"/>
      <c r="ABT12" s="473"/>
      <c r="ABU12" s="473"/>
      <c r="ABV12" s="473"/>
      <c r="ABW12" s="473"/>
      <c r="ABX12" s="473"/>
      <c r="ABY12" s="473"/>
      <c r="ABZ12" s="473"/>
      <c r="ACA12" s="473"/>
      <c r="ACB12" s="473"/>
      <c r="ACC12" s="473"/>
      <c r="ACD12" s="473"/>
      <c r="ACE12" s="473"/>
      <c r="ACF12" s="473"/>
      <c r="ACG12" s="473"/>
      <c r="ACH12" s="473"/>
      <c r="ACI12" s="473"/>
      <c r="ACJ12" s="473"/>
      <c r="ACK12" s="473"/>
      <c r="ACL12" s="473"/>
      <c r="ACM12" s="473"/>
      <c r="ACN12" s="473"/>
      <c r="ACO12" s="473"/>
      <c r="ACP12" s="473"/>
      <c r="ACQ12" s="473"/>
      <c r="ACR12" s="473"/>
      <c r="ACS12" s="473"/>
      <c r="ACT12" s="473"/>
      <c r="ACU12" s="473"/>
      <c r="ACV12" s="473"/>
      <c r="ACW12" s="473"/>
      <c r="ACX12" s="473"/>
      <c r="ACY12" s="473"/>
      <c r="ACZ12" s="473"/>
      <c r="ADA12" s="473"/>
      <c r="ADB12" s="473"/>
      <c r="ADC12" s="473"/>
      <c r="ADD12" s="473"/>
      <c r="ADE12" s="473"/>
      <c r="ADF12" s="473"/>
      <c r="ADG12" s="473"/>
      <c r="ADH12" s="473"/>
      <c r="ADI12" s="473"/>
      <c r="ADJ12" s="473"/>
      <c r="ADK12" s="473"/>
      <c r="ADL12" s="473"/>
      <c r="ADM12" s="473"/>
      <c r="ADN12" s="473"/>
      <c r="ADO12" s="473"/>
      <c r="ADP12" s="473"/>
      <c r="ADQ12" s="473"/>
      <c r="ADR12" s="473"/>
      <c r="ADS12" s="473"/>
      <c r="ADT12" s="473"/>
      <c r="ADU12" s="473"/>
      <c r="ADV12" s="473"/>
      <c r="ADW12" s="473"/>
      <c r="ADX12" s="473"/>
      <c r="ADY12" s="473"/>
      <c r="ADZ12" s="473"/>
      <c r="AEA12" s="473"/>
      <c r="AEB12" s="473"/>
      <c r="AEC12" s="473"/>
      <c r="AED12" s="473"/>
      <c r="AEE12" s="473"/>
      <c r="AEF12" s="473"/>
      <c r="AEG12" s="473"/>
      <c r="AEH12" s="473"/>
      <c r="AEI12" s="473"/>
      <c r="AEJ12" s="473"/>
      <c r="AEK12" s="473"/>
      <c r="AEL12" s="473"/>
      <c r="AEM12" s="473"/>
      <c r="AEN12" s="473"/>
      <c r="AEO12" s="473"/>
      <c r="AEP12" s="473"/>
      <c r="AEQ12" s="473"/>
      <c r="AER12" s="473"/>
      <c r="AES12" s="473"/>
      <c r="AET12" s="473"/>
      <c r="AEU12" s="473"/>
      <c r="AEV12" s="473"/>
      <c r="AEW12" s="473"/>
      <c r="AEX12" s="473"/>
      <c r="AEY12" s="473"/>
      <c r="AEZ12" s="473"/>
      <c r="AFA12" s="473"/>
      <c r="AFB12" s="473"/>
      <c r="AFC12" s="473"/>
      <c r="AFD12" s="473"/>
      <c r="AFE12" s="473"/>
      <c r="AFF12" s="473"/>
      <c r="AFG12" s="473"/>
      <c r="AFH12" s="473"/>
      <c r="AFI12" s="473"/>
      <c r="AFJ12" s="473"/>
      <c r="AFK12" s="473"/>
      <c r="AFL12" s="473"/>
      <c r="AFM12" s="473"/>
      <c r="AFN12" s="473"/>
      <c r="AFO12" s="473"/>
      <c r="AFP12" s="473"/>
      <c r="AFQ12" s="473"/>
      <c r="AFR12" s="473"/>
      <c r="AFS12" s="473"/>
      <c r="AFT12" s="473"/>
      <c r="AFU12" s="473"/>
      <c r="AFV12" s="473"/>
      <c r="AFW12" s="473"/>
      <c r="AFX12" s="473"/>
      <c r="AFY12" s="473"/>
      <c r="AFZ12" s="473"/>
      <c r="AGA12" s="473"/>
      <c r="AGB12" s="473"/>
      <c r="AGC12" s="473"/>
      <c r="AGD12" s="473"/>
      <c r="AGE12" s="473"/>
      <c r="AGF12" s="473"/>
      <c r="AGG12" s="473"/>
      <c r="AGH12" s="473"/>
      <c r="AGI12" s="473"/>
      <c r="AGJ12" s="473"/>
      <c r="AGK12" s="473"/>
      <c r="AGL12" s="473"/>
      <c r="AGM12" s="473"/>
      <c r="AGN12" s="473"/>
      <c r="AGO12" s="473"/>
      <c r="AGP12" s="473"/>
      <c r="AGQ12" s="473"/>
      <c r="AGR12" s="473"/>
      <c r="AGS12" s="473"/>
      <c r="AGT12" s="473"/>
      <c r="AGU12" s="473"/>
      <c r="AGV12" s="473"/>
      <c r="AGW12" s="473"/>
      <c r="AGX12" s="473"/>
      <c r="AGY12" s="473"/>
      <c r="AGZ12" s="473"/>
      <c r="AHA12" s="473"/>
      <c r="AHB12" s="473"/>
      <c r="AHC12" s="473"/>
      <c r="AHD12" s="473"/>
      <c r="AHE12" s="473"/>
      <c r="AHF12" s="473"/>
      <c r="AHG12" s="473"/>
      <c r="AHH12" s="473"/>
      <c r="AHI12" s="473"/>
      <c r="AHJ12" s="473"/>
      <c r="AHK12" s="473"/>
      <c r="AHL12" s="473"/>
      <c r="AHM12" s="473"/>
      <c r="AHN12" s="473"/>
      <c r="AHO12" s="473"/>
      <c r="AHP12" s="473"/>
      <c r="AHQ12" s="473"/>
      <c r="AHR12" s="473"/>
      <c r="AHS12" s="473"/>
      <c r="AHT12" s="473"/>
      <c r="AHU12" s="473"/>
      <c r="AHV12" s="473"/>
      <c r="AHW12" s="473"/>
      <c r="AHX12" s="473"/>
      <c r="AHY12" s="473"/>
      <c r="AHZ12" s="473"/>
      <c r="AIA12" s="473"/>
      <c r="AIB12" s="473"/>
      <c r="AIC12" s="473"/>
      <c r="AID12" s="473"/>
      <c r="AIE12" s="473"/>
      <c r="AIF12" s="473"/>
      <c r="AIG12" s="473"/>
      <c r="AIH12" s="473"/>
      <c r="AII12" s="473"/>
      <c r="AIJ12" s="473"/>
      <c r="AIK12" s="473"/>
      <c r="AIL12" s="473"/>
      <c r="AIM12" s="473"/>
      <c r="AIN12" s="473"/>
      <c r="AIO12" s="473"/>
      <c r="AIP12" s="473"/>
      <c r="AIQ12" s="473"/>
      <c r="AIR12" s="473"/>
      <c r="AIS12" s="473"/>
      <c r="AIT12" s="473"/>
      <c r="AIU12" s="473"/>
      <c r="AIV12" s="473"/>
      <c r="AIW12" s="473"/>
      <c r="AIX12" s="473"/>
      <c r="AIY12" s="473"/>
      <c r="AIZ12" s="473"/>
      <c r="AJA12" s="473"/>
      <c r="AJB12" s="473"/>
      <c r="AJC12" s="473"/>
      <c r="AJD12" s="473"/>
      <c r="AJE12" s="473"/>
      <c r="AJF12" s="473"/>
      <c r="AJG12" s="473"/>
      <c r="AJH12" s="473"/>
      <c r="AJI12" s="473"/>
      <c r="AJJ12" s="473"/>
      <c r="AJK12" s="473"/>
      <c r="AJL12" s="473"/>
      <c r="AJM12" s="473"/>
      <c r="AJN12" s="473"/>
      <c r="AJO12" s="473"/>
      <c r="AJP12" s="473"/>
      <c r="AJQ12" s="473"/>
      <c r="AJR12" s="473"/>
      <c r="AJS12" s="473"/>
      <c r="AJT12" s="473"/>
      <c r="AJU12" s="473"/>
      <c r="AJV12" s="473"/>
      <c r="AJW12" s="473"/>
      <c r="AJX12" s="473"/>
      <c r="AJY12" s="473"/>
      <c r="AJZ12" s="473"/>
      <c r="AKA12" s="473"/>
      <c r="AKB12" s="473"/>
      <c r="AKC12" s="473"/>
      <c r="AKD12" s="473"/>
      <c r="AKE12" s="473"/>
      <c r="AKF12" s="473"/>
      <c r="AKG12" s="473"/>
      <c r="AKH12" s="473"/>
      <c r="AKI12" s="473"/>
      <c r="AKJ12" s="473"/>
      <c r="AKK12" s="473"/>
      <c r="AKL12" s="473"/>
      <c r="AKM12" s="473"/>
      <c r="AKN12" s="473"/>
      <c r="AKO12" s="473"/>
      <c r="AKP12" s="473"/>
      <c r="AKQ12" s="473"/>
      <c r="AKR12" s="473"/>
      <c r="AKS12" s="473"/>
      <c r="AKT12" s="473"/>
      <c r="AKU12" s="473"/>
      <c r="AKV12" s="473"/>
      <c r="AKW12" s="473"/>
      <c r="AKX12" s="473"/>
      <c r="AKY12" s="473"/>
      <c r="AKZ12" s="473"/>
      <c r="ALA12" s="473"/>
      <c r="ALB12" s="473"/>
      <c r="ALC12" s="473"/>
      <c r="ALD12" s="473"/>
      <c r="ALE12" s="473"/>
      <c r="ALF12" s="473"/>
      <c r="ALG12" s="473"/>
      <c r="ALH12" s="473"/>
      <c r="ALI12" s="473"/>
      <c r="ALJ12" s="473"/>
      <c r="ALK12" s="473"/>
      <c r="ALL12" s="473"/>
      <c r="ALM12" s="473"/>
      <c r="ALN12" s="473"/>
      <c r="ALO12" s="473"/>
      <c r="ALP12" s="473"/>
      <c r="ALQ12" s="473"/>
      <c r="ALR12" s="473"/>
      <c r="ALS12" s="473"/>
      <c r="ALT12" s="473"/>
      <c r="ALU12" s="473"/>
      <c r="ALV12" s="473"/>
      <c r="ALW12" s="473"/>
      <c r="ALX12" s="473"/>
      <c r="ALY12" s="473"/>
      <c r="ALZ12" s="473"/>
      <c r="AMA12" s="473"/>
      <c r="AMB12" s="473"/>
      <c r="AMC12" s="473"/>
      <c r="AMD12" s="473"/>
      <c r="AME12" s="473"/>
      <c r="AMF12" s="473"/>
      <c r="AMG12" s="473"/>
      <c r="AMH12" s="473"/>
      <c r="AMI12" s="473"/>
      <c r="AMJ12" s="473"/>
      <c r="AMK12" s="473"/>
      <c r="AML12" s="473"/>
      <c r="AMM12" s="473"/>
      <c r="AMN12" s="473"/>
      <c r="AMO12" s="473"/>
      <c r="AMP12" s="473"/>
      <c r="AMQ12" s="473"/>
      <c r="AMR12" s="473"/>
      <c r="AMS12" s="473"/>
      <c r="AMT12" s="473"/>
      <c r="AMU12" s="473"/>
      <c r="AMV12" s="473"/>
      <c r="AMW12" s="473"/>
      <c r="AMX12" s="473"/>
      <c r="AMY12" s="473"/>
      <c r="AMZ12" s="473"/>
      <c r="ANA12" s="473"/>
      <c r="ANB12" s="473"/>
      <c r="ANC12" s="473"/>
      <c r="AND12" s="473"/>
      <c r="ANE12" s="473"/>
      <c r="ANF12" s="473"/>
      <c r="ANG12" s="473"/>
      <c r="ANH12" s="473"/>
      <c r="ANI12" s="473"/>
      <c r="ANJ12" s="473"/>
      <c r="ANK12" s="473"/>
      <c r="ANL12" s="473"/>
      <c r="ANM12" s="473"/>
      <c r="ANN12" s="473"/>
      <c r="ANO12" s="473"/>
      <c r="ANP12" s="473"/>
      <c r="ANQ12" s="473"/>
      <c r="ANR12" s="473"/>
      <c r="ANS12" s="473"/>
      <c r="ANT12" s="473"/>
      <c r="ANU12" s="473"/>
      <c r="ANV12" s="473"/>
      <c r="ANW12" s="473"/>
      <c r="ANX12" s="473"/>
      <c r="ANY12" s="473"/>
      <c r="ANZ12" s="473"/>
      <c r="AOA12" s="473"/>
      <c r="AOB12" s="473"/>
      <c r="AOC12" s="473"/>
      <c r="AOD12" s="473"/>
      <c r="AOE12" s="473"/>
      <c r="AOF12" s="473"/>
      <c r="AOG12" s="473"/>
      <c r="AOH12" s="473"/>
      <c r="AOI12" s="473"/>
      <c r="AOJ12" s="473"/>
      <c r="AOK12" s="473"/>
      <c r="AOL12" s="473"/>
      <c r="AOM12" s="473"/>
      <c r="AON12" s="473"/>
      <c r="AOO12" s="473"/>
      <c r="AOP12" s="473"/>
      <c r="AOQ12" s="473"/>
      <c r="AOR12" s="473"/>
      <c r="AOS12" s="473"/>
      <c r="AOT12" s="473"/>
      <c r="AOU12" s="473"/>
      <c r="AOV12" s="473"/>
      <c r="AOW12" s="473"/>
      <c r="AOX12" s="473"/>
      <c r="AOY12" s="473"/>
      <c r="AOZ12" s="473"/>
      <c r="APA12" s="473"/>
      <c r="APB12" s="473"/>
      <c r="APC12" s="473"/>
      <c r="APD12" s="473"/>
      <c r="APE12" s="473"/>
      <c r="APF12" s="473"/>
      <c r="APG12" s="473"/>
      <c r="APH12" s="473"/>
      <c r="API12" s="473"/>
      <c r="APJ12" s="473"/>
      <c r="APK12" s="473"/>
      <c r="APL12" s="473"/>
      <c r="APM12" s="473"/>
      <c r="APN12" s="473"/>
      <c r="APO12" s="473"/>
      <c r="APP12" s="473"/>
      <c r="APQ12" s="473"/>
      <c r="APR12" s="473"/>
      <c r="APS12" s="473"/>
      <c r="APT12" s="473"/>
      <c r="APU12" s="473"/>
      <c r="APV12" s="473"/>
      <c r="APW12" s="473"/>
      <c r="APX12" s="473"/>
      <c r="APY12" s="473"/>
      <c r="APZ12" s="473"/>
      <c r="AQA12" s="473"/>
      <c r="AQB12" s="473"/>
      <c r="AQC12" s="473"/>
      <c r="AQD12" s="473"/>
      <c r="AQE12" s="473"/>
      <c r="AQF12" s="473"/>
      <c r="AQG12" s="473"/>
      <c r="AQH12" s="473"/>
      <c r="AQI12" s="473"/>
      <c r="AQJ12" s="473"/>
      <c r="AQK12" s="473"/>
      <c r="AQL12" s="473"/>
      <c r="AQM12" s="473"/>
      <c r="AQN12" s="473"/>
      <c r="AQO12" s="473"/>
      <c r="AQP12" s="473"/>
      <c r="AQQ12" s="473"/>
      <c r="AQR12" s="473"/>
      <c r="AQS12" s="473"/>
      <c r="AQT12" s="473"/>
      <c r="AQU12" s="473"/>
      <c r="AQV12" s="473"/>
      <c r="AQW12" s="473"/>
      <c r="AQX12" s="473"/>
      <c r="AQY12" s="473"/>
      <c r="AQZ12" s="473"/>
      <c r="ARA12" s="473"/>
      <c r="ARB12" s="473"/>
      <c r="ARC12" s="473"/>
      <c r="ARD12" s="473"/>
      <c r="ARE12" s="473"/>
      <c r="ARF12" s="473"/>
      <c r="ARG12" s="473"/>
      <c r="ARH12" s="473"/>
      <c r="ARI12" s="473"/>
      <c r="ARJ12" s="473"/>
      <c r="ARK12" s="473"/>
      <c r="ARL12" s="473"/>
      <c r="ARM12" s="473"/>
      <c r="ARN12" s="473"/>
      <c r="ARO12" s="473"/>
      <c r="ARP12" s="473"/>
      <c r="ARQ12" s="473"/>
      <c r="ARR12" s="473"/>
      <c r="ARS12" s="473"/>
      <c r="ART12" s="473"/>
      <c r="ARU12" s="473"/>
      <c r="ARV12" s="473"/>
      <c r="ARW12" s="473"/>
      <c r="ARX12" s="473"/>
      <c r="ARY12" s="473"/>
      <c r="ARZ12" s="473"/>
      <c r="ASA12" s="473"/>
      <c r="ASB12" s="473"/>
      <c r="ASC12" s="473"/>
      <c r="ASD12" s="473"/>
      <c r="ASE12" s="473"/>
      <c r="ASF12" s="473"/>
      <c r="ASG12" s="473"/>
      <c r="ASH12" s="473"/>
      <c r="ASI12" s="473"/>
      <c r="ASJ12" s="473"/>
      <c r="ASK12" s="473"/>
      <c r="ASL12" s="473"/>
      <c r="ASM12" s="473"/>
      <c r="ASN12" s="473"/>
      <c r="ASO12" s="473"/>
      <c r="ASP12" s="473"/>
      <c r="ASQ12" s="473"/>
      <c r="ASR12" s="473"/>
      <c r="ASS12" s="473"/>
      <c r="AST12" s="473"/>
      <c r="ASU12" s="473"/>
      <c r="ASV12" s="473"/>
      <c r="ASW12" s="473"/>
      <c r="ASX12" s="473"/>
      <c r="ASY12" s="473"/>
      <c r="ASZ12" s="473"/>
      <c r="ATA12" s="473"/>
      <c r="ATB12" s="473"/>
      <c r="ATC12" s="473"/>
      <c r="ATD12" s="473"/>
      <c r="ATE12" s="473"/>
      <c r="ATF12" s="473"/>
      <c r="ATG12" s="473"/>
      <c r="ATH12" s="473"/>
      <c r="ATI12" s="473"/>
      <c r="ATJ12" s="473"/>
      <c r="ATK12" s="473"/>
      <c r="ATL12" s="473"/>
      <c r="ATM12" s="473"/>
      <c r="ATN12" s="473"/>
      <c r="ATO12" s="473"/>
      <c r="ATP12" s="473"/>
      <c r="ATQ12" s="473"/>
      <c r="ATR12" s="473"/>
      <c r="ATS12" s="473"/>
      <c r="ATT12" s="473"/>
      <c r="ATU12" s="473"/>
      <c r="ATV12" s="473"/>
      <c r="ATW12" s="473"/>
      <c r="ATX12" s="473"/>
      <c r="ATY12" s="473"/>
      <c r="ATZ12" s="473"/>
      <c r="AUA12" s="473"/>
      <c r="AUB12" s="473"/>
      <c r="AUC12" s="473"/>
      <c r="AUD12" s="473"/>
      <c r="AUE12" s="473"/>
      <c r="AUF12" s="473"/>
      <c r="AUG12" s="473"/>
      <c r="AUH12" s="473"/>
      <c r="AUI12" s="473"/>
      <c r="AUJ12" s="473"/>
      <c r="AUK12" s="473"/>
      <c r="AUL12" s="473"/>
      <c r="AUM12" s="473"/>
      <c r="AUN12" s="473"/>
      <c r="AUO12" s="473"/>
      <c r="AUP12" s="473"/>
      <c r="AUQ12" s="473"/>
      <c r="AUR12" s="473"/>
      <c r="AUS12" s="473"/>
      <c r="AUT12" s="473"/>
      <c r="AUU12" s="473"/>
      <c r="AUV12" s="473"/>
      <c r="AUW12" s="473"/>
      <c r="AUX12" s="473"/>
      <c r="AUY12" s="473"/>
      <c r="AUZ12" s="473"/>
      <c r="AVA12" s="473"/>
      <c r="AVB12" s="473"/>
      <c r="AVC12" s="473"/>
      <c r="AVD12" s="473"/>
      <c r="AVE12" s="473"/>
      <c r="AVF12" s="473"/>
      <c r="AVG12" s="473"/>
      <c r="AVH12" s="473"/>
      <c r="AVI12" s="473"/>
      <c r="AVJ12" s="473"/>
      <c r="AVK12" s="473"/>
      <c r="AVL12" s="473"/>
      <c r="AVM12" s="473"/>
      <c r="AVN12" s="473"/>
      <c r="AVO12" s="473"/>
      <c r="AVP12" s="473"/>
      <c r="AVQ12" s="473"/>
      <c r="AVR12" s="473"/>
      <c r="AVS12" s="473"/>
      <c r="AVT12" s="473"/>
      <c r="AVU12" s="473"/>
      <c r="AVV12" s="473"/>
      <c r="AVW12" s="473"/>
      <c r="AVX12" s="473"/>
      <c r="AVY12" s="473"/>
      <c r="AVZ12" s="473"/>
      <c r="AWA12" s="473"/>
      <c r="AWB12" s="473"/>
      <c r="AWC12" s="473"/>
      <c r="AWD12" s="473"/>
      <c r="AWE12" s="473"/>
      <c r="AWF12" s="473"/>
      <c r="AWG12" s="473"/>
      <c r="AWH12" s="473"/>
      <c r="AWI12" s="473"/>
      <c r="AWJ12" s="473"/>
      <c r="AWK12" s="473"/>
      <c r="AWL12" s="473"/>
      <c r="AWM12" s="473"/>
      <c r="AWN12" s="473"/>
      <c r="AWO12" s="473"/>
      <c r="AWP12" s="473"/>
      <c r="AWQ12" s="473"/>
      <c r="AWR12" s="473"/>
      <c r="AWS12" s="473"/>
      <c r="AWT12" s="473"/>
      <c r="AWU12" s="473"/>
      <c r="AWV12" s="473"/>
      <c r="AWW12" s="473"/>
      <c r="AWX12" s="473"/>
      <c r="AWY12" s="473"/>
      <c r="AWZ12" s="473"/>
      <c r="AXA12" s="473"/>
      <c r="AXB12" s="473"/>
      <c r="AXC12" s="473"/>
      <c r="AXD12" s="473"/>
      <c r="AXE12" s="473"/>
      <c r="AXF12" s="473"/>
      <c r="AXG12" s="473"/>
      <c r="AXH12" s="473"/>
      <c r="AXI12" s="473"/>
      <c r="AXJ12" s="473"/>
      <c r="AXK12" s="473"/>
      <c r="AXL12" s="473"/>
      <c r="AXM12" s="473"/>
      <c r="AXN12" s="473"/>
      <c r="AXO12" s="473"/>
      <c r="AXP12" s="473"/>
      <c r="AXQ12" s="473"/>
      <c r="AXR12" s="473"/>
      <c r="AXS12" s="473"/>
      <c r="AXT12" s="473"/>
      <c r="AXU12" s="473"/>
      <c r="AXV12" s="473"/>
      <c r="AXW12" s="473"/>
      <c r="AXX12" s="473"/>
      <c r="AXY12" s="473"/>
      <c r="AXZ12" s="473"/>
      <c r="AYA12" s="473"/>
      <c r="AYB12" s="473"/>
      <c r="AYC12" s="473"/>
      <c r="AYD12" s="473"/>
      <c r="AYE12" s="473"/>
      <c r="AYF12" s="473"/>
      <c r="AYG12" s="473"/>
      <c r="AYH12" s="473"/>
      <c r="AYI12" s="473"/>
      <c r="AYJ12" s="473"/>
      <c r="AYK12" s="473"/>
      <c r="AYL12" s="473"/>
      <c r="AYM12" s="473"/>
      <c r="AYN12" s="473"/>
      <c r="AYO12" s="473"/>
      <c r="AYP12" s="473"/>
      <c r="AYQ12" s="473"/>
      <c r="AYR12" s="473"/>
      <c r="AYS12" s="473"/>
      <c r="AYT12" s="473"/>
      <c r="AYU12" s="473"/>
      <c r="AYV12" s="473"/>
      <c r="AYW12" s="473"/>
      <c r="AYX12" s="473"/>
      <c r="AYY12" s="473"/>
      <c r="AYZ12" s="473"/>
      <c r="AZA12" s="473"/>
      <c r="AZB12" s="473"/>
      <c r="AZC12" s="473"/>
      <c r="AZD12" s="473"/>
      <c r="AZE12" s="473"/>
      <c r="AZF12" s="473"/>
      <c r="AZG12" s="473"/>
      <c r="AZH12" s="473"/>
      <c r="AZI12" s="473"/>
      <c r="AZJ12" s="473"/>
      <c r="AZK12" s="473"/>
      <c r="AZL12" s="473"/>
      <c r="AZM12" s="473"/>
      <c r="AZN12" s="473"/>
      <c r="AZO12" s="473"/>
      <c r="AZP12" s="473"/>
      <c r="AZQ12" s="473"/>
      <c r="AZR12" s="473"/>
      <c r="AZS12" s="473"/>
      <c r="AZT12" s="473"/>
      <c r="AZU12" s="473"/>
      <c r="AZV12" s="473"/>
      <c r="AZW12" s="473"/>
      <c r="AZX12" s="473"/>
      <c r="AZY12" s="473"/>
      <c r="AZZ12" s="473"/>
      <c r="BAA12" s="473"/>
      <c r="BAB12" s="473"/>
      <c r="BAC12" s="473"/>
      <c r="BAD12" s="473"/>
      <c r="BAE12" s="473"/>
      <c r="BAF12" s="473"/>
      <c r="BAG12" s="473"/>
      <c r="BAH12" s="473"/>
      <c r="BAI12" s="473"/>
      <c r="BAJ12" s="473"/>
      <c r="BAK12" s="473"/>
      <c r="BAL12" s="473"/>
      <c r="BAM12" s="473"/>
      <c r="BAN12" s="473"/>
      <c r="BAO12" s="473"/>
      <c r="BAP12" s="473"/>
      <c r="BAQ12" s="473"/>
      <c r="BAR12" s="473"/>
      <c r="BAS12" s="473"/>
      <c r="BAT12" s="473"/>
      <c r="BAU12" s="473"/>
      <c r="BAV12" s="473"/>
      <c r="BAW12" s="473"/>
      <c r="BAX12" s="473"/>
      <c r="BAY12" s="473"/>
      <c r="BAZ12" s="473"/>
      <c r="BBA12" s="473"/>
      <c r="BBB12" s="473"/>
      <c r="BBC12" s="473"/>
      <c r="BBD12" s="473"/>
      <c r="BBE12" s="473"/>
      <c r="BBF12" s="473"/>
      <c r="BBG12" s="473"/>
      <c r="BBH12" s="473"/>
      <c r="BBI12" s="473"/>
      <c r="BBJ12" s="473"/>
      <c r="BBK12" s="473"/>
      <c r="BBL12" s="473"/>
      <c r="BBM12" s="473"/>
      <c r="BBN12" s="473"/>
      <c r="BBO12" s="473"/>
      <c r="BBP12" s="473"/>
      <c r="BBQ12" s="473"/>
      <c r="BBR12" s="473"/>
      <c r="BBS12" s="473"/>
      <c r="BBT12" s="473"/>
      <c r="BBU12" s="473"/>
      <c r="BBV12" s="473"/>
      <c r="BBW12" s="473"/>
      <c r="BBX12" s="473"/>
      <c r="BBY12" s="473"/>
      <c r="BBZ12" s="473"/>
      <c r="BCA12" s="473"/>
      <c r="BCB12" s="473"/>
      <c r="BCC12" s="473"/>
      <c r="BCD12" s="473"/>
      <c r="BCE12" s="473"/>
      <c r="BCF12" s="473"/>
      <c r="BCG12" s="473"/>
      <c r="BCH12" s="473"/>
      <c r="BCI12" s="473"/>
      <c r="BCJ12" s="473"/>
      <c r="BCK12" s="473"/>
      <c r="BCL12" s="473"/>
      <c r="BCM12" s="473"/>
      <c r="BCN12" s="473"/>
      <c r="BCO12" s="473"/>
      <c r="BCP12" s="473"/>
      <c r="BCQ12" s="473"/>
      <c r="BCR12" s="473"/>
      <c r="BCS12" s="473"/>
      <c r="BCT12" s="473"/>
      <c r="BCU12" s="473"/>
      <c r="BCV12" s="473"/>
      <c r="BCW12" s="473"/>
      <c r="BCX12" s="473"/>
      <c r="BCY12" s="473"/>
      <c r="BCZ12" s="473"/>
      <c r="BDA12" s="473"/>
      <c r="BDB12" s="473"/>
      <c r="BDC12" s="473"/>
      <c r="BDD12" s="473"/>
      <c r="BDE12" s="473"/>
      <c r="BDF12" s="473"/>
      <c r="BDG12" s="473"/>
      <c r="BDH12" s="473"/>
      <c r="BDI12" s="473"/>
      <c r="BDJ12" s="473"/>
      <c r="BDK12" s="473"/>
      <c r="BDL12" s="473"/>
      <c r="BDM12" s="473"/>
      <c r="BDN12" s="473"/>
      <c r="BDO12" s="473"/>
      <c r="BDP12" s="473"/>
      <c r="BDQ12" s="473"/>
      <c r="BDR12" s="473"/>
      <c r="BDS12" s="473"/>
      <c r="BDT12" s="473"/>
      <c r="BDU12" s="473"/>
      <c r="BDV12" s="473"/>
      <c r="BDW12" s="473"/>
      <c r="BDX12" s="473"/>
      <c r="BDY12" s="473"/>
      <c r="BDZ12" s="473"/>
      <c r="BEA12" s="473"/>
      <c r="BEB12" s="473"/>
      <c r="BEC12" s="473"/>
      <c r="BED12" s="473"/>
      <c r="BEE12" s="473"/>
      <c r="BEF12" s="473"/>
      <c r="BEG12" s="473"/>
      <c r="BEH12" s="473"/>
      <c r="BEI12" s="473"/>
      <c r="BEJ12" s="473"/>
      <c r="BEK12" s="473"/>
      <c r="BEL12" s="473"/>
      <c r="BEM12" s="473"/>
      <c r="BEN12" s="473"/>
      <c r="BEO12" s="473"/>
      <c r="BEP12" s="473"/>
      <c r="BEQ12" s="473"/>
      <c r="BER12" s="473"/>
      <c r="BES12" s="473"/>
      <c r="BET12" s="473"/>
      <c r="BEU12" s="473"/>
      <c r="BEV12" s="473"/>
      <c r="BEW12" s="473"/>
      <c r="BEX12" s="473"/>
      <c r="BEY12" s="473"/>
      <c r="BEZ12" s="473"/>
      <c r="BFA12" s="473"/>
      <c r="BFB12" s="473"/>
      <c r="BFC12" s="473"/>
      <c r="BFD12" s="473"/>
      <c r="BFE12" s="473"/>
      <c r="BFF12" s="473"/>
      <c r="BFG12" s="473"/>
      <c r="BFH12" s="473"/>
      <c r="BFI12" s="473"/>
      <c r="BFJ12" s="473"/>
      <c r="BFK12" s="473"/>
      <c r="BFL12" s="473"/>
      <c r="BFM12" s="473"/>
      <c r="BFN12" s="473"/>
      <c r="BFO12" s="473"/>
      <c r="BFP12" s="473"/>
      <c r="BFQ12" s="473"/>
      <c r="BFR12" s="473"/>
      <c r="BFS12" s="473"/>
      <c r="BFT12" s="473"/>
      <c r="BFU12" s="473"/>
      <c r="BFV12" s="473"/>
      <c r="BFW12" s="473"/>
      <c r="BFX12" s="473"/>
      <c r="BFY12" s="473"/>
      <c r="BFZ12" s="473"/>
      <c r="BGA12" s="473"/>
      <c r="BGB12" s="473"/>
      <c r="BGC12" s="473"/>
      <c r="BGD12" s="473"/>
      <c r="BGE12" s="473"/>
      <c r="BGF12" s="473"/>
      <c r="BGG12" s="473"/>
      <c r="BGH12" s="473"/>
      <c r="BGI12" s="473"/>
      <c r="BGJ12" s="473"/>
      <c r="BGK12" s="473"/>
      <c r="BGL12" s="473"/>
      <c r="BGM12" s="473"/>
      <c r="BGN12" s="473"/>
      <c r="BGO12" s="473"/>
      <c r="BGP12" s="473"/>
      <c r="BGQ12" s="473"/>
      <c r="BGR12" s="473"/>
      <c r="BGS12" s="473"/>
      <c r="BGT12" s="473"/>
      <c r="BGU12" s="473"/>
      <c r="BGV12" s="473"/>
      <c r="BGW12" s="473"/>
      <c r="BGX12" s="473"/>
      <c r="BGY12" s="473"/>
      <c r="BGZ12" s="473"/>
      <c r="BHA12" s="473"/>
      <c r="BHB12" s="473"/>
      <c r="BHC12" s="473"/>
      <c r="BHD12" s="473"/>
      <c r="BHE12" s="473"/>
      <c r="BHF12" s="473"/>
      <c r="BHG12" s="473"/>
      <c r="BHH12" s="473"/>
      <c r="BHI12" s="473"/>
      <c r="BHJ12" s="473"/>
      <c r="BHK12" s="473"/>
      <c r="BHL12" s="473"/>
      <c r="BHM12" s="473"/>
      <c r="BHN12" s="473"/>
      <c r="BHO12" s="473"/>
      <c r="BHP12" s="473"/>
      <c r="BHQ12" s="473"/>
      <c r="BHR12" s="473"/>
      <c r="BHS12" s="473"/>
      <c r="BHT12" s="473"/>
      <c r="BHU12" s="473"/>
      <c r="BHV12" s="473"/>
      <c r="BHW12" s="473"/>
      <c r="BHX12" s="473"/>
      <c r="BHY12" s="473"/>
      <c r="BHZ12" s="473"/>
      <c r="BIA12" s="473"/>
      <c r="BIB12" s="473"/>
      <c r="BIC12" s="473"/>
      <c r="BID12" s="473"/>
      <c r="BIE12" s="473"/>
      <c r="BIF12" s="473"/>
      <c r="BIG12" s="473"/>
      <c r="BIH12" s="473"/>
      <c r="BII12" s="473"/>
      <c r="BIJ12" s="473"/>
      <c r="BIK12" s="473"/>
      <c r="BIL12" s="473"/>
      <c r="BIM12" s="473"/>
      <c r="BIN12" s="473"/>
      <c r="BIO12" s="473"/>
      <c r="BIP12" s="473"/>
      <c r="BIQ12" s="473"/>
      <c r="BIR12" s="473"/>
      <c r="BIS12" s="473"/>
      <c r="BIT12" s="473"/>
      <c r="BIU12" s="473"/>
      <c r="BIV12" s="473"/>
      <c r="BIW12" s="473"/>
      <c r="BIX12" s="473"/>
      <c r="BIY12" s="473"/>
      <c r="BIZ12" s="473"/>
      <c r="BJA12" s="473"/>
      <c r="BJB12" s="473"/>
      <c r="BJC12" s="473"/>
      <c r="BJD12" s="473"/>
      <c r="BJE12" s="473"/>
      <c r="BJF12" s="473"/>
      <c r="BJG12" s="473"/>
      <c r="BJH12" s="473"/>
      <c r="BJI12" s="473"/>
      <c r="BJJ12" s="473"/>
      <c r="BJK12" s="473"/>
      <c r="BJL12" s="473"/>
      <c r="BJM12" s="473"/>
      <c r="BJN12" s="473"/>
      <c r="BJO12" s="473"/>
      <c r="BJP12" s="473"/>
      <c r="BJQ12" s="473"/>
      <c r="BJR12" s="473"/>
      <c r="BJS12" s="473"/>
      <c r="BJT12" s="473"/>
      <c r="BJU12" s="473"/>
      <c r="BJV12" s="473"/>
      <c r="BJW12" s="473"/>
      <c r="BJX12" s="473"/>
      <c r="BJY12" s="473"/>
      <c r="BJZ12" s="473"/>
      <c r="BKA12" s="473"/>
      <c r="BKB12" s="473"/>
      <c r="BKC12" s="473"/>
      <c r="BKD12" s="473"/>
      <c r="BKE12" s="473"/>
      <c r="BKF12" s="473"/>
      <c r="BKG12" s="473"/>
      <c r="BKH12" s="473"/>
      <c r="BKI12" s="473"/>
      <c r="BKJ12" s="473"/>
      <c r="BKK12" s="473"/>
      <c r="BKL12" s="473"/>
      <c r="BKM12" s="473"/>
      <c r="BKN12" s="473"/>
      <c r="BKO12" s="473"/>
      <c r="BKP12" s="473"/>
      <c r="BKQ12" s="473"/>
      <c r="BKR12" s="473"/>
      <c r="BKS12" s="473"/>
      <c r="BKT12" s="473"/>
      <c r="BKU12" s="473"/>
      <c r="BKV12" s="473"/>
      <c r="BKW12" s="473"/>
      <c r="BKX12" s="473"/>
      <c r="BKY12" s="473"/>
      <c r="BKZ12" s="473"/>
      <c r="BLA12" s="473"/>
      <c r="BLB12" s="473"/>
      <c r="BLC12" s="473"/>
      <c r="BLD12" s="473"/>
      <c r="BLE12" s="473"/>
      <c r="BLF12" s="473"/>
      <c r="BLG12" s="473"/>
      <c r="BLH12" s="473"/>
      <c r="BLI12" s="473"/>
      <c r="BLJ12" s="473"/>
      <c r="BLK12" s="473"/>
      <c r="BLL12" s="473"/>
      <c r="BLM12" s="473"/>
      <c r="BLN12" s="473"/>
      <c r="BLO12" s="473"/>
      <c r="BLP12" s="473"/>
      <c r="BLQ12" s="473"/>
      <c r="BLR12" s="473"/>
      <c r="BLS12" s="473"/>
      <c r="BLT12" s="473"/>
      <c r="BLU12" s="473"/>
      <c r="BLV12" s="473"/>
      <c r="BLW12" s="473"/>
      <c r="BLX12" s="473"/>
      <c r="BLY12" s="473"/>
      <c r="BLZ12" s="473"/>
      <c r="BMA12" s="473"/>
      <c r="BMB12" s="473"/>
      <c r="BMC12" s="473"/>
      <c r="BMD12" s="473"/>
      <c r="BME12" s="473"/>
      <c r="BMF12" s="473"/>
      <c r="BMG12" s="473"/>
      <c r="BMH12" s="473"/>
      <c r="BMI12" s="473"/>
      <c r="BMJ12" s="473"/>
      <c r="BMK12" s="473"/>
      <c r="BML12" s="473"/>
      <c r="BMM12" s="473"/>
      <c r="BMN12" s="473"/>
      <c r="BMO12" s="473"/>
      <c r="BMP12" s="473"/>
      <c r="BMQ12" s="473"/>
      <c r="BMR12" s="473"/>
      <c r="BMS12" s="473"/>
      <c r="BMT12" s="473"/>
      <c r="BMU12" s="473"/>
      <c r="BMV12" s="473"/>
      <c r="BMW12" s="473"/>
      <c r="BMX12" s="473"/>
      <c r="BMY12" s="473"/>
      <c r="BMZ12" s="473"/>
      <c r="BNA12" s="473"/>
      <c r="BNB12" s="473"/>
      <c r="BNC12" s="473"/>
      <c r="BND12" s="473"/>
      <c r="BNE12" s="473"/>
      <c r="BNF12" s="473"/>
      <c r="BNG12" s="473"/>
      <c r="BNH12" s="473"/>
      <c r="BNI12" s="473"/>
      <c r="BNJ12" s="473"/>
      <c r="BNK12" s="473"/>
      <c r="BNL12" s="473"/>
      <c r="BNM12" s="473"/>
      <c r="BNN12" s="473"/>
      <c r="BNO12" s="473"/>
      <c r="BNP12" s="473"/>
      <c r="BNQ12" s="473"/>
      <c r="BNR12" s="473"/>
      <c r="BNS12" s="473"/>
      <c r="BNT12" s="473"/>
      <c r="BNU12" s="473"/>
      <c r="BNV12" s="473"/>
      <c r="BNW12" s="473"/>
      <c r="BNX12" s="473"/>
      <c r="BNY12" s="473"/>
      <c r="BNZ12" s="473"/>
      <c r="BOA12" s="473"/>
      <c r="BOB12" s="473"/>
      <c r="BOC12" s="473"/>
      <c r="BOD12" s="473"/>
      <c r="BOE12" s="473"/>
      <c r="BOF12" s="473"/>
      <c r="BOG12" s="473"/>
      <c r="BOH12" s="473"/>
      <c r="BOI12" s="473"/>
      <c r="BOJ12" s="473"/>
      <c r="BOK12" s="473"/>
      <c r="BOL12" s="473"/>
      <c r="BOM12" s="473"/>
      <c r="BON12" s="473"/>
      <c r="BOO12" s="473"/>
      <c r="BOP12" s="473"/>
      <c r="BOQ12" s="473"/>
      <c r="BOR12" s="473"/>
      <c r="BOS12" s="473"/>
      <c r="BOT12" s="473"/>
      <c r="BOU12" s="473"/>
      <c r="BOV12" s="473"/>
      <c r="BOW12" s="473"/>
      <c r="BOX12" s="473"/>
      <c r="BOY12" s="473"/>
      <c r="BOZ12" s="473"/>
      <c r="BPA12" s="473"/>
      <c r="BPB12" s="473"/>
      <c r="BPC12" s="473"/>
      <c r="BPD12" s="473"/>
      <c r="BPE12" s="473"/>
      <c r="BPF12" s="473"/>
      <c r="BPG12" s="473"/>
      <c r="BPH12" s="473"/>
      <c r="BPI12" s="473"/>
      <c r="BPJ12" s="473"/>
      <c r="BPK12" s="473"/>
      <c r="BPL12" s="473"/>
      <c r="BPM12" s="473"/>
      <c r="BPN12" s="473"/>
      <c r="BPO12" s="473"/>
      <c r="BPP12" s="473"/>
      <c r="BPQ12" s="473"/>
      <c r="BPR12" s="473"/>
      <c r="BPS12" s="473"/>
      <c r="BPT12" s="473"/>
      <c r="BPU12" s="473"/>
      <c r="BPV12" s="473"/>
      <c r="BPW12" s="473"/>
      <c r="BPX12" s="473"/>
      <c r="BPY12" s="473"/>
      <c r="BPZ12" s="473"/>
      <c r="BQA12" s="473"/>
      <c r="BQB12" s="473"/>
      <c r="BQC12" s="473"/>
      <c r="BQD12" s="473"/>
      <c r="BQE12" s="473"/>
      <c r="BQF12" s="473"/>
      <c r="BQG12" s="473"/>
      <c r="BQH12" s="473"/>
      <c r="BQI12" s="473"/>
      <c r="BQJ12" s="473"/>
      <c r="BQK12" s="473"/>
      <c r="BQL12" s="473"/>
      <c r="BQM12" s="473"/>
      <c r="BQN12" s="473"/>
      <c r="BQO12" s="473"/>
      <c r="BQP12" s="473"/>
      <c r="BQQ12" s="473"/>
      <c r="BQR12" s="473"/>
      <c r="BQS12" s="473"/>
      <c r="BQT12" s="473"/>
      <c r="BQU12" s="473"/>
      <c r="BQV12" s="473"/>
      <c r="BQW12" s="473"/>
      <c r="BQX12" s="473"/>
      <c r="BQY12" s="473"/>
      <c r="BQZ12" s="473"/>
      <c r="BRA12" s="473"/>
      <c r="BRB12" s="473"/>
      <c r="BRC12" s="473"/>
      <c r="BRD12" s="473"/>
      <c r="BRE12" s="473"/>
      <c r="BRF12" s="473"/>
      <c r="BRG12" s="473"/>
      <c r="BRH12" s="473"/>
      <c r="BRI12" s="473"/>
      <c r="BRJ12" s="473"/>
      <c r="BRK12" s="473"/>
      <c r="BRL12" s="473"/>
      <c r="BRM12" s="473"/>
      <c r="BRN12" s="473"/>
      <c r="BRO12" s="473"/>
      <c r="BRP12" s="473"/>
      <c r="BRQ12" s="473"/>
      <c r="BRR12" s="473"/>
      <c r="BRS12" s="473"/>
      <c r="BRT12" s="473"/>
      <c r="BRU12" s="473"/>
      <c r="BRV12" s="473"/>
      <c r="BRW12" s="473"/>
      <c r="BRX12" s="473"/>
      <c r="BRY12" s="473"/>
      <c r="BRZ12" s="473"/>
      <c r="BSA12" s="473"/>
      <c r="BSB12" s="473"/>
      <c r="BSC12" s="473"/>
      <c r="BSD12" s="473"/>
      <c r="BSE12" s="473"/>
      <c r="BSF12" s="473"/>
      <c r="BSG12" s="473"/>
      <c r="BSH12" s="473"/>
      <c r="BSI12" s="473"/>
      <c r="BSJ12" s="473"/>
      <c r="BSK12" s="473"/>
      <c r="BSL12" s="473"/>
      <c r="BSM12" s="473"/>
      <c r="BSN12" s="473"/>
      <c r="BSO12" s="473"/>
      <c r="BSP12" s="473"/>
      <c r="BSQ12" s="473"/>
      <c r="BSR12" s="473"/>
      <c r="BSS12" s="473"/>
      <c r="BST12" s="473"/>
      <c r="BSU12" s="473"/>
      <c r="BSV12" s="473"/>
      <c r="BSW12" s="473"/>
      <c r="BSX12" s="473"/>
      <c r="BSY12" s="473"/>
      <c r="BSZ12" s="473"/>
      <c r="BTA12" s="473"/>
      <c r="BTB12" s="473"/>
      <c r="BTC12" s="473"/>
      <c r="BTD12" s="473"/>
      <c r="BTE12" s="473"/>
      <c r="BTF12" s="473"/>
      <c r="BTG12" s="473"/>
      <c r="BTH12" s="473"/>
      <c r="BTI12" s="473"/>
      <c r="BTJ12" s="473"/>
      <c r="BTK12" s="473"/>
      <c r="BTL12" s="473"/>
      <c r="BTM12" s="473"/>
      <c r="BTN12" s="473"/>
      <c r="BTO12" s="473"/>
      <c r="BTP12" s="473"/>
      <c r="BTQ12" s="473"/>
      <c r="BTR12" s="473"/>
      <c r="BTS12" s="473"/>
      <c r="BTT12" s="473"/>
      <c r="BTU12" s="473"/>
      <c r="BTV12" s="473"/>
      <c r="BTW12" s="473"/>
      <c r="BTX12" s="473"/>
      <c r="BTY12" s="473"/>
      <c r="BTZ12" s="473"/>
      <c r="BUA12" s="473"/>
      <c r="BUB12" s="473"/>
      <c r="BUC12" s="473"/>
      <c r="BUD12" s="473"/>
      <c r="BUE12" s="473"/>
      <c r="BUF12" s="473"/>
      <c r="BUG12" s="473"/>
      <c r="BUH12" s="473"/>
      <c r="BUI12" s="473"/>
      <c r="BUJ12" s="473"/>
      <c r="BUK12" s="473"/>
      <c r="BUL12" s="473"/>
      <c r="BUM12" s="473"/>
      <c r="BUN12" s="473"/>
      <c r="BUO12" s="473"/>
      <c r="BUP12" s="473"/>
      <c r="BUQ12" s="473"/>
      <c r="BUR12" s="473"/>
      <c r="BUS12" s="473"/>
      <c r="BUT12" s="473"/>
      <c r="BUU12" s="473"/>
      <c r="BUV12" s="473"/>
      <c r="BUW12" s="473"/>
      <c r="BUX12" s="473"/>
      <c r="BUY12" s="473"/>
      <c r="BUZ12" s="473"/>
      <c r="BVA12" s="473"/>
      <c r="BVB12" s="473"/>
      <c r="BVC12" s="473"/>
      <c r="BVD12" s="473"/>
      <c r="BVE12" s="473"/>
      <c r="BVF12" s="473"/>
      <c r="BVG12" s="473"/>
      <c r="BVH12" s="473"/>
      <c r="BVI12" s="473"/>
      <c r="BVJ12" s="473"/>
      <c r="BVK12" s="473"/>
      <c r="BVL12" s="473"/>
      <c r="BVM12" s="473"/>
      <c r="BVN12" s="473"/>
      <c r="BVO12" s="473"/>
      <c r="BVP12" s="473"/>
      <c r="BVQ12" s="473"/>
      <c r="BVR12" s="473"/>
      <c r="BVS12" s="473"/>
      <c r="BVT12" s="473"/>
      <c r="BVU12" s="473"/>
      <c r="BVV12" s="473"/>
      <c r="BVW12" s="473"/>
      <c r="BVX12" s="473"/>
      <c r="BVY12" s="473"/>
      <c r="BVZ12" s="473"/>
      <c r="BWA12" s="473"/>
      <c r="BWB12" s="473"/>
      <c r="BWC12" s="473"/>
      <c r="BWD12" s="473"/>
      <c r="BWE12" s="473"/>
      <c r="BWF12" s="473"/>
      <c r="BWG12" s="473"/>
      <c r="BWH12" s="473"/>
      <c r="BWI12" s="473"/>
      <c r="BWJ12" s="473"/>
      <c r="BWK12" s="473"/>
      <c r="BWL12" s="473"/>
      <c r="BWM12" s="473"/>
      <c r="BWN12" s="473"/>
      <c r="BWO12" s="473"/>
      <c r="BWP12" s="473"/>
      <c r="BWQ12" s="473"/>
      <c r="BWR12" s="473"/>
      <c r="BWS12" s="473"/>
      <c r="BWT12" s="473"/>
      <c r="BWU12" s="473"/>
      <c r="BWV12" s="473"/>
      <c r="BWW12" s="473"/>
      <c r="BWX12" s="473"/>
      <c r="BWY12" s="473"/>
      <c r="BWZ12" s="473"/>
      <c r="BXA12" s="473"/>
      <c r="BXB12" s="473"/>
      <c r="BXC12" s="473"/>
      <c r="BXD12" s="473"/>
      <c r="BXE12" s="473"/>
      <c r="BXF12" s="473"/>
      <c r="BXG12" s="473"/>
      <c r="BXH12" s="473"/>
      <c r="BXI12" s="473"/>
      <c r="BXJ12" s="473"/>
      <c r="BXK12" s="473"/>
      <c r="BXL12" s="473"/>
      <c r="BXM12" s="473"/>
      <c r="BXN12" s="473"/>
      <c r="BXO12" s="473"/>
      <c r="BXP12" s="473"/>
      <c r="BXQ12" s="473"/>
      <c r="BXR12" s="473"/>
      <c r="BXS12" s="473"/>
      <c r="BXT12" s="473"/>
      <c r="BXU12" s="473"/>
      <c r="BXV12" s="473"/>
      <c r="BXW12" s="473"/>
      <c r="BXX12" s="473"/>
      <c r="BXY12" s="473"/>
      <c r="BXZ12" s="473"/>
      <c r="BYA12" s="473"/>
      <c r="BYB12" s="473"/>
      <c r="BYC12" s="473"/>
      <c r="BYD12" s="473"/>
      <c r="BYE12" s="473"/>
      <c r="BYF12" s="473"/>
      <c r="BYG12" s="473"/>
      <c r="BYH12" s="473"/>
      <c r="BYI12" s="473"/>
      <c r="BYJ12" s="473"/>
      <c r="BYK12" s="473"/>
      <c r="BYL12" s="473"/>
      <c r="BYM12" s="473"/>
      <c r="BYN12" s="473"/>
      <c r="BYO12" s="473"/>
      <c r="BYP12" s="473"/>
      <c r="BYQ12" s="473"/>
      <c r="BYR12" s="473"/>
      <c r="BYS12" s="473"/>
      <c r="BYT12" s="473"/>
      <c r="BYU12" s="473"/>
      <c r="BYV12" s="473"/>
      <c r="BYW12" s="473"/>
      <c r="BYX12" s="473"/>
      <c r="BYY12" s="473"/>
      <c r="BYZ12" s="473"/>
      <c r="BZA12" s="473"/>
      <c r="BZB12" s="473"/>
      <c r="BZC12" s="473"/>
      <c r="BZD12" s="473"/>
      <c r="BZE12" s="473"/>
      <c r="BZF12" s="473"/>
      <c r="BZG12" s="473"/>
      <c r="BZH12" s="473"/>
      <c r="BZI12" s="473"/>
      <c r="BZJ12" s="473"/>
      <c r="BZK12" s="473"/>
      <c r="BZL12" s="473"/>
      <c r="BZM12" s="473"/>
      <c r="BZN12" s="473"/>
      <c r="BZO12" s="473"/>
      <c r="BZP12" s="473"/>
      <c r="BZQ12" s="473"/>
      <c r="BZR12" s="473"/>
      <c r="BZS12" s="473"/>
      <c r="BZT12" s="473"/>
      <c r="BZU12" s="473"/>
      <c r="BZV12" s="473"/>
      <c r="BZW12" s="473"/>
      <c r="BZX12" s="473"/>
      <c r="BZY12" s="473"/>
      <c r="BZZ12" s="473"/>
      <c r="CAA12" s="473"/>
      <c r="CAB12" s="473"/>
      <c r="CAC12" s="473"/>
      <c r="CAD12" s="473"/>
      <c r="CAE12" s="473"/>
      <c r="CAF12" s="473"/>
      <c r="CAG12" s="473"/>
      <c r="CAH12" s="473"/>
      <c r="CAI12" s="473"/>
      <c r="CAJ12" s="473"/>
      <c r="CAK12" s="473"/>
      <c r="CAL12" s="473"/>
      <c r="CAM12" s="473"/>
      <c r="CAN12" s="473"/>
      <c r="CAO12" s="473"/>
      <c r="CAP12" s="473"/>
      <c r="CAQ12" s="473"/>
      <c r="CAR12" s="473"/>
      <c r="CAS12" s="473"/>
      <c r="CAT12" s="473"/>
      <c r="CAU12" s="473"/>
      <c r="CAV12" s="473"/>
      <c r="CAW12" s="473"/>
      <c r="CAX12" s="473"/>
      <c r="CAY12" s="473"/>
      <c r="CAZ12" s="473"/>
      <c r="CBA12" s="473"/>
      <c r="CBB12" s="473"/>
      <c r="CBC12" s="473"/>
      <c r="CBD12" s="473"/>
      <c r="CBE12" s="473"/>
      <c r="CBF12" s="473"/>
      <c r="CBG12" s="473"/>
      <c r="CBH12" s="473"/>
      <c r="CBI12" s="473"/>
      <c r="CBJ12" s="473"/>
      <c r="CBK12" s="473"/>
      <c r="CBL12" s="473"/>
      <c r="CBM12" s="473"/>
      <c r="CBN12" s="473"/>
      <c r="CBO12" s="473"/>
      <c r="CBP12" s="473"/>
      <c r="CBQ12" s="473"/>
      <c r="CBR12" s="473"/>
      <c r="CBS12" s="473"/>
      <c r="CBT12" s="473"/>
      <c r="CBU12" s="473"/>
      <c r="CBV12" s="473"/>
      <c r="CBW12" s="473"/>
      <c r="CBX12" s="473"/>
      <c r="CBY12" s="473"/>
      <c r="CBZ12" s="473"/>
      <c r="CCA12" s="473"/>
      <c r="CCB12" s="473"/>
      <c r="CCC12" s="473"/>
      <c r="CCD12" s="473"/>
      <c r="CCE12" s="473"/>
      <c r="CCF12" s="473"/>
      <c r="CCG12" s="473"/>
      <c r="CCH12" s="473"/>
      <c r="CCI12" s="473"/>
      <c r="CCJ12" s="473"/>
      <c r="CCK12" s="473"/>
      <c r="CCL12" s="473"/>
      <c r="CCM12" s="473"/>
      <c r="CCN12" s="473"/>
      <c r="CCO12" s="473"/>
      <c r="CCP12" s="473"/>
      <c r="CCQ12" s="473"/>
      <c r="CCR12" s="473"/>
      <c r="CCS12" s="473"/>
      <c r="CCT12" s="473"/>
      <c r="CCU12" s="473"/>
      <c r="CCV12" s="473"/>
      <c r="CCW12" s="473"/>
      <c r="CCX12" s="473"/>
      <c r="CCY12" s="473"/>
      <c r="CCZ12" s="473"/>
      <c r="CDA12" s="473"/>
      <c r="CDB12" s="473"/>
      <c r="CDC12" s="473"/>
      <c r="CDD12" s="473"/>
      <c r="CDE12" s="473"/>
      <c r="CDF12" s="473"/>
      <c r="CDG12" s="473"/>
      <c r="CDH12" s="473"/>
      <c r="CDI12" s="473"/>
      <c r="CDJ12" s="473"/>
      <c r="CDK12" s="473"/>
      <c r="CDL12" s="473"/>
      <c r="CDM12" s="473"/>
      <c r="CDN12" s="473"/>
      <c r="CDO12" s="473"/>
      <c r="CDP12" s="473"/>
      <c r="CDQ12" s="473"/>
      <c r="CDR12" s="473"/>
      <c r="CDS12" s="473"/>
      <c r="CDT12" s="473"/>
      <c r="CDU12" s="473"/>
      <c r="CDV12" s="473"/>
      <c r="CDW12" s="473"/>
      <c r="CDX12" s="473"/>
      <c r="CDY12" s="473"/>
      <c r="CDZ12" s="473"/>
      <c r="CEA12" s="473"/>
      <c r="CEB12" s="473"/>
      <c r="CEC12" s="473"/>
      <c r="CED12" s="473"/>
      <c r="CEE12" s="473"/>
      <c r="CEF12" s="473"/>
      <c r="CEG12" s="473"/>
      <c r="CEH12" s="473"/>
      <c r="CEI12" s="473"/>
      <c r="CEJ12" s="473"/>
      <c r="CEK12" s="473"/>
      <c r="CEL12" s="473"/>
      <c r="CEM12" s="473"/>
      <c r="CEN12" s="473"/>
      <c r="CEO12" s="473"/>
      <c r="CEP12" s="473"/>
      <c r="CEQ12" s="473"/>
      <c r="CER12" s="473"/>
      <c r="CES12" s="473"/>
      <c r="CET12" s="473"/>
      <c r="CEU12" s="473"/>
      <c r="CEV12" s="473"/>
      <c r="CEW12" s="473"/>
      <c r="CEX12" s="473"/>
      <c r="CEY12" s="473"/>
      <c r="CEZ12" s="473"/>
      <c r="CFA12" s="473"/>
      <c r="CFB12" s="473"/>
      <c r="CFC12" s="473"/>
      <c r="CFD12" s="473"/>
      <c r="CFE12" s="473"/>
      <c r="CFF12" s="473"/>
      <c r="CFG12" s="473"/>
      <c r="CFH12" s="473"/>
      <c r="CFI12" s="473"/>
      <c r="CFJ12" s="473"/>
      <c r="CFK12" s="473"/>
      <c r="CFL12" s="473"/>
      <c r="CFM12" s="473"/>
      <c r="CFN12" s="473"/>
      <c r="CFO12" s="473"/>
      <c r="CFP12" s="473"/>
      <c r="CFQ12" s="473"/>
      <c r="CFR12" s="473"/>
      <c r="CFS12" s="473"/>
      <c r="CFT12" s="473"/>
      <c r="CFU12" s="473"/>
      <c r="CFV12" s="473"/>
      <c r="CFW12" s="473"/>
      <c r="CFX12" s="473"/>
      <c r="CFY12" s="473"/>
      <c r="CFZ12" s="473"/>
      <c r="CGA12" s="473"/>
      <c r="CGB12" s="473"/>
      <c r="CGC12" s="473"/>
      <c r="CGD12" s="473"/>
      <c r="CGE12" s="473"/>
      <c r="CGF12" s="473"/>
      <c r="CGG12" s="473"/>
      <c r="CGH12" s="473"/>
      <c r="CGI12" s="473"/>
      <c r="CGJ12" s="473"/>
      <c r="CGK12" s="473"/>
      <c r="CGL12" s="473"/>
      <c r="CGM12" s="473"/>
      <c r="CGN12" s="473"/>
      <c r="CGO12" s="473"/>
      <c r="CGP12" s="473"/>
      <c r="CGQ12" s="473"/>
      <c r="CGR12" s="473"/>
      <c r="CGS12" s="473"/>
      <c r="CGT12" s="473"/>
      <c r="CGU12" s="473"/>
      <c r="CGV12" s="473"/>
      <c r="CGW12" s="473"/>
      <c r="CGX12" s="473"/>
      <c r="CGY12" s="473"/>
      <c r="CGZ12" s="473"/>
      <c r="CHA12" s="473"/>
      <c r="CHB12" s="473"/>
      <c r="CHC12" s="473"/>
      <c r="CHD12" s="473"/>
      <c r="CHE12" s="473"/>
      <c r="CHF12" s="473"/>
      <c r="CHG12" s="473"/>
      <c r="CHH12" s="473"/>
      <c r="CHI12" s="473"/>
      <c r="CHJ12" s="473"/>
      <c r="CHK12" s="473"/>
      <c r="CHL12" s="473"/>
      <c r="CHM12" s="473"/>
      <c r="CHN12" s="473"/>
      <c r="CHO12" s="473"/>
      <c r="CHP12" s="473"/>
      <c r="CHQ12" s="473"/>
      <c r="CHR12" s="473"/>
      <c r="CHS12" s="473"/>
      <c r="CHT12" s="473"/>
      <c r="CHU12" s="473"/>
      <c r="CHV12" s="473"/>
      <c r="CHW12" s="473"/>
      <c r="CHX12" s="473"/>
      <c r="CHY12" s="473"/>
      <c r="CHZ12" s="473"/>
      <c r="CIA12" s="473"/>
      <c r="CIB12" s="473"/>
      <c r="CIC12" s="473"/>
      <c r="CID12" s="473"/>
      <c r="CIE12" s="473"/>
      <c r="CIF12" s="473"/>
      <c r="CIG12" s="473"/>
      <c r="CIH12" s="473"/>
      <c r="CII12" s="473"/>
      <c r="CIJ12" s="473"/>
      <c r="CIK12" s="473"/>
      <c r="CIL12" s="473"/>
      <c r="CIM12" s="473"/>
      <c r="CIN12" s="473"/>
      <c r="CIO12" s="473"/>
      <c r="CIP12" s="473"/>
      <c r="CIQ12" s="473"/>
      <c r="CIR12" s="473"/>
      <c r="CIS12" s="473"/>
      <c r="CIT12" s="473"/>
      <c r="CIU12" s="473"/>
      <c r="CIV12" s="473"/>
      <c r="CIW12" s="473"/>
      <c r="CIX12" s="473"/>
      <c r="CIY12" s="473"/>
      <c r="CIZ12" s="473"/>
      <c r="CJA12" s="473"/>
      <c r="CJB12" s="473"/>
      <c r="CJC12" s="473"/>
      <c r="CJD12" s="473"/>
      <c r="CJE12" s="473"/>
      <c r="CJF12" s="473"/>
      <c r="CJG12" s="473"/>
      <c r="CJH12" s="473"/>
      <c r="CJI12" s="473"/>
      <c r="CJJ12" s="473"/>
      <c r="CJK12" s="473"/>
      <c r="CJL12" s="473"/>
      <c r="CJM12" s="473"/>
      <c r="CJN12" s="473"/>
      <c r="CJO12" s="473"/>
      <c r="CJP12" s="473"/>
      <c r="CJQ12" s="473"/>
      <c r="CJR12" s="473"/>
      <c r="CJS12" s="473"/>
      <c r="CJT12" s="473"/>
      <c r="CJU12" s="473"/>
      <c r="CJV12" s="473"/>
      <c r="CJW12" s="473"/>
      <c r="CJX12" s="473"/>
      <c r="CJY12" s="473"/>
      <c r="CJZ12" s="473"/>
      <c r="CKA12" s="473"/>
      <c r="CKB12" s="473"/>
      <c r="CKC12" s="473"/>
      <c r="CKD12" s="473"/>
      <c r="CKE12" s="473"/>
      <c r="CKF12" s="473"/>
      <c r="CKG12" s="473"/>
      <c r="CKH12" s="473"/>
      <c r="CKI12" s="473"/>
      <c r="CKJ12" s="473"/>
      <c r="CKK12" s="473"/>
      <c r="CKL12" s="473"/>
      <c r="CKM12" s="473"/>
      <c r="CKN12" s="473"/>
      <c r="CKO12" s="473"/>
      <c r="CKP12" s="473"/>
      <c r="CKQ12" s="473"/>
      <c r="CKR12" s="473"/>
      <c r="CKS12" s="473"/>
      <c r="CKT12" s="473"/>
      <c r="CKU12" s="473"/>
      <c r="CKV12" s="473"/>
      <c r="CKW12" s="473"/>
      <c r="CKX12" s="473"/>
      <c r="CKY12" s="473"/>
      <c r="CKZ12" s="473"/>
      <c r="CLA12" s="473"/>
      <c r="CLB12" s="473"/>
      <c r="CLC12" s="473"/>
      <c r="CLD12" s="473"/>
      <c r="CLE12" s="473"/>
      <c r="CLF12" s="473"/>
      <c r="CLG12" s="473"/>
      <c r="CLH12" s="473"/>
      <c r="CLI12" s="473"/>
      <c r="CLJ12" s="473"/>
      <c r="CLK12" s="473"/>
      <c r="CLL12" s="473"/>
      <c r="CLM12" s="473"/>
      <c r="CLN12" s="473"/>
      <c r="CLO12" s="473"/>
      <c r="CLP12" s="473"/>
      <c r="CLQ12" s="473"/>
      <c r="CLR12" s="473"/>
      <c r="CLS12" s="473"/>
      <c r="CLT12" s="473"/>
      <c r="CLU12" s="473"/>
      <c r="CLV12" s="473"/>
      <c r="CLW12" s="473"/>
      <c r="CLX12" s="473"/>
      <c r="CLY12" s="473"/>
      <c r="CLZ12" s="473"/>
      <c r="CMA12" s="473"/>
      <c r="CMB12" s="473"/>
      <c r="CMC12" s="473"/>
      <c r="CMD12" s="473"/>
      <c r="CME12" s="473"/>
      <c r="CMF12" s="473"/>
      <c r="CMG12" s="473"/>
      <c r="CMH12" s="473"/>
      <c r="CMI12" s="473"/>
      <c r="CMJ12" s="473"/>
      <c r="CMK12" s="473"/>
      <c r="CML12" s="473"/>
      <c r="CMM12" s="473"/>
      <c r="CMN12" s="473"/>
      <c r="CMO12" s="473"/>
      <c r="CMP12" s="473"/>
      <c r="CMQ12" s="473"/>
      <c r="CMR12" s="473"/>
      <c r="CMS12" s="473"/>
      <c r="CMT12" s="473"/>
      <c r="CMU12" s="473"/>
      <c r="CMV12" s="473"/>
      <c r="CMW12" s="473"/>
      <c r="CMX12" s="473"/>
      <c r="CMY12" s="473"/>
      <c r="CMZ12" s="473"/>
      <c r="CNA12" s="473"/>
      <c r="CNB12" s="473"/>
      <c r="CNC12" s="473"/>
      <c r="CND12" s="473"/>
      <c r="CNE12" s="473"/>
      <c r="CNF12" s="473"/>
      <c r="CNG12" s="473"/>
      <c r="CNH12" s="473"/>
      <c r="CNI12" s="473"/>
      <c r="CNJ12" s="473"/>
      <c r="CNK12" s="473"/>
      <c r="CNL12" s="473"/>
      <c r="CNM12" s="473"/>
      <c r="CNN12" s="473"/>
      <c r="CNO12" s="473"/>
      <c r="CNP12" s="473"/>
      <c r="CNQ12" s="473"/>
      <c r="CNR12" s="473"/>
      <c r="CNS12" s="473"/>
      <c r="CNT12" s="473"/>
      <c r="CNU12" s="473"/>
      <c r="CNV12" s="473"/>
      <c r="CNW12" s="473"/>
      <c r="CNX12" s="473"/>
      <c r="CNY12" s="473"/>
      <c r="CNZ12" s="473"/>
      <c r="COA12" s="473"/>
      <c r="COB12" s="473"/>
      <c r="COC12" s="473"/>
      <c r="COD12" s="473"/>
      <c r="COE12" s="473"/>
      <c r="COF12" s="473"/>
      <c r="COG12" s="473"/>
      <c r="COH12" s="473"/>
      <c r="COI12" s="473"/>
      <c r="COJ12" s="473"/>
      <c r="COK12" s="473"/>
      <c r="COL12" s="473"/>
      <c r="COM12" s="473"/>
      <c r="CON12" s="473"/>
      <c r="COO12" s="473"/>
      <c r="COP12" s="473"/>
      <c r="COQ12" s="473"/>
      <c r="COR12" s="473"/>
      <c r="COS12" s="473"/>
      <c r="COT12" s="473"/>
      <c r="COU12" s="473"/>
      <c r="COV12" s="473"/>
      <c r="COW12" s="473"/>
      <c r="COX12" s="473"/>
      <c r="COY12" s="473"/>
      <c r="COZ12" s="473"/>
      <c r="CPA12" s="473"/>
      <c r="CPB12" s="473"/>
      <c r="CPC12" s="473"/>
      <c r="CPD12" s="473"/>
      <c r="CPE12" s="473"/>
      <c r="CPF12" s="473"/>
      <c r="CPG12" s="473"/>
      <c r="CPH12" s="473"/>
      <c r="CPI12" s="473"/>
      <c r="CPJ12" s="473"/>
      <c r="CPK12" s="473"/>
      <c r="CPL12" s="473"/>
      <c r="CPM12" s="473"/>
      <c r="CPN12" s="473"/>
      <c r="CPO12" s="473"/>
      <c r="CPP12" s="473"/>
      <c r="CPQ12" s="473"/>
      <c r="CPR12" s="473"/>
      <c r="CPS12" s="473"/>
      <c r="CPT12" s="473"/>
      <c r="CPU12" s="473"/>
      <c r="CPV12" s="473"/>
      <c r="CPW12" s="473"/>
      <c r="CPX12" s="473"/>
      <c r="CPY12" s="473"/>
      <c r="CPZ12" s="473"/>
      <c r="CQA12" s="473"/>
      <c r="CQB12" s="473"/>
      <c r="CQC12" s="473"/>
      <c r="CQD12" s="473"/>
      <c r="CQE12" s="473"/>
      <c r="CQF12" s="473"/>
      <c r="CQG12" s="473"/>
      <c r="CQH12" s="473"/>
      <c r="CQI12" s="473"/>
      <c r="CQJ12" s="473"/>
      <c r="CQK12" s="473"/>
      <c r="CQL12" s="473"/>
      <c r="CQM12" s="473"/>
      <c r="CQN12" s="473"/>
      <c r="CQO12" s="473"/>
      <c r="CQP12" s="473"/>
      <c r="CQQ12" s="473"/>
      <c r="CQR12" s="473"/>
      <c r="CQS12" s="473"/>
      <c r="CQT12" s="473"/>
      <c r="CQU12" s="473"/>
      <c r="CQV12" s="473"/>
      <c r="CQW12" s="473"/>
      <c r="CQX12" s="473"/>
      <c r="CQY12" s="473"/>
      <c r="CQZ12" s="473"/>
      <c r="CRA12" s="473"/>
      <c r="CRB12" s="473"/>
      <c r="CRC12" s="473"/>
      <c r="CRD12" s="473"/>
      <c r="CRE12" s="473"/>
      <c r="CRF12" s="473"/>
      <c r="CRG12" s="473"/>
      <c r="CRH12" s="473"/>
      <c r="CRI12" s="473"/>
      <c r="CRJ12" s="473"/>
      <c r="CRK12" s="473"/>
      <c r="CRL12" s="473"/>
      <c r="CRM12" s="473"/>
      <c r="CRN12" s="473"/>
      <c r="CRO12" s="473"/>
      <c r="CRP12" s="473"/>
      <c r="CRQ12" s="473"/>
      <c r="CRR12" s="473"/>
      <c r="CRS12" s="473"/>
      <c r="CRT12" s="473"/>
      <c r="CRU12" s="473"/>
      <c r="CRV12" s="473"/>
      <c r="CRW12" s="473"/>
      <c r="CRX12" s="473"/>
      <c r="CRY12" s="473"/>
      <c r="CRZ12" s="473"/>
      <c r="CSA12" s="473"/>
      <c r="CSB12" s="473"/>
      <c r="CSC12" s="473"/>
      <c r="CSD12" s="473"/>
      <c r="CSE12" s="473"/>
      <c r="CSF12" s="473"/>
      <c r="CSG12" s="473"/>
      <c r="CSH12" s="473"/>
      <c r="CSI12" s="473"/>
      <c r="CSJ12" s="473"/>
      <c r="CSK12" s="473"/>
      <c r="CSL12" s="473"/>
      <c r="CSM12" s="473"/>
      <c r="CSN12" s="473"/>
      <c r="CSO12" s="473"/>
      <c r="CSP12" s="473"/>
      <c r="CSQ12" s="473"/>
      <c r="CSR12" s="473"/>
      <c r="CSS12" s="473"/>
      <c r="CST12" s="473"/>
      <c r="CSU12" s="473"/>
      <c r="CSV12" s="473"/>
      <c r="CSW12" s="473"/>
      <c r="CSX12" s="473"/>
      <c r="CSY12" s="473"/>
      <c r="CSZ12" s="473"/>
      <c r="CTA12" s="473"/>
      <c r="CTB12" s="473"/>
      <c r="CTC12" s="473"/>
      <c r="CTD12" s="473"/>
      <c r="CTE12" s="473"/>
      <c r="CTF12" s="473"/>
      <c r="CTG12" s="473"/>
      <c r="CTH12" s="473"/>
      <c r="CTI12" s="473"/>
      <c r="CTJ12" s="473"/>
      <c r="CTK12" s="473"/>
      <c r="CTL12" s="473"/>
      <c r="CTM12" s="473"/>
      <c r="CTN12" s="473"/>
      <c r="CTO12" s="473"/>
      <c r="CTP12" s="473"/>
      <c r="CTQ12" s="473"/>
      <c r="CTR12" s="473"/>
      <c r="CTS12" s="473"/>
      <c r="CTT12" s="473"/>
      <c r="CTU12" s="473"/>
      <c r="CTV12" s="473"/>
      <c r="CTW12" s="473"/>
      <c r="CTX12" s="473"/>
      <c r="CTY12" s="473"/>
      <c r="CTZ12" s="473"/>
      <c r="CUA12" s="473"/>
      <c r="CUB12" s="473"/>
      <c r="CUC12" s="473"/>
      <c r="CUD12" s="473"/>
      <c r="CUE12" s="473"/>
      <c r="CUF12" s="473"/>
      <c r="CUG12" s="473"/>
      <c r="CUH12" s="473"/>
      <c r="CUI12" s="473"/>
      <c r="CUJ12" s="473"/>
      <c r="CUK12" s="473"/>
      <c r="CUL12" s="473"/>
      <c r="CUM12" s="473"/>
      <c r="CUN12" s="473"/>
      <c r="CUO12" s="473"/>
      <c r="CUP12" s="473"/>
      <c r="CUQ12" s="473"/>
      <c r="CUR12" s="473"/>
      <c r="CUS12" s="473"/>
      <c r="CUT12" s="473"/>
      <c r="CUU12" s="473"/>
      <c r="CUV12" s="473"/>
      <c r="CUW12" s="473"/>
      <c r="CUX12" s="473"/>
      <c r="CUY12" s="473"/>
      <c r="CUZ12" s="473"/>
      <c r="CVA12" s="473"/>
      <c r="CVB12" s="473"/>
      <c r="CVC12" s="473"/>
      <c r="CVD12" s="473"/>
      <c r="CVE12" s="473"/>
      <c r="CVF12" s="473"/>
      <c r="CVG12" s="473"/>
      <c r="CVH12" s="473"/>
      <c r="CVI12" s="473"/>
      <c r="CVJ12" s="473"/>
      <c r="CVK12" s="473"/>
      <c r="CVL12" s="473"/>
      <c r="CVM12" s="473"/>
      <c r="CVN12" s="473"/>
      <c r="CVO12" s="473"/>
      <c r="CVP12" s="473"/>
      <c r="CVQ12" s="473"/>
      <c r="CVR12" s="473"/>
      <c r="CVS12" s="473"/>
      <c r="CVT12" s="473"/>
      <c r="CVU12" s="473"/>
      <c r="CVV12" s="473"/>
      <c r="CVW12" s="473"/>
      <c r="CVX12" s="473"/>
      <c r="CVY12" s="473"/>
      <c r="CVZ12" s="473"/>
      <c r="CWA12" s="473"/>
      <c r="CWB12" s="473"/>
      <c r="CWC12" s="473"/>
      <c r="CWD12" s="473"/>
      <c r="CWE12" s="473"/>
      <c r="CWF12" s="473"/>
      <c r="CWG12" s="473"/>
      <c r="CWH12" s="473"/>
      <c r="CWI12" s="473"/>
      <c r="CWJ12" s="473"/>
      <c r="CWK12" s="473"/>
      <c r="CWL12" s="473"/>
      <c r="CWM12" s="473"/>
      <c r="CWN12" s="473"/>
      <c r="CWO12" s="473"/>
      <c r="CWP12" s="473"/>
      <c r="CWQ12" s="473"/>
      <c r="CWR12" s="473"/>
      <c r="CWS12" s="473"/>
      <c r="CWT12" s="473"/>
      <c r="CWU12" s="473"/>
      <c r="CWV12" s="473"/>
      <c r="CWW12" s="473"/>
      <c r="CWX12" s="473"/>
      <c r="CWY12" s="473"/>
      <c r="CWZ12" s="473"/>
      <c r="CXA12" s="473"/>
      <c r="CXB12" s="473"/>
      <c r="CXC12" s="473"/>
      <c r="CXD12" s="473"/>
      <c r="CXE12" s="473"/>
      <c r="CXF12" s="473"/>
      <c r="CXG12" s="473"/>
      <c r="CXH12" s="473"/>
      <c r="CXI12" s="473"/>
      <c r="CXJ12" s="473"/>
      <c r="CXK12" s="473"/>
      <c r="CXL12" s="473"/>
      <c r="CXM12" s="473"/>
      <c r="CXN12" s="473"/>
      <c r="CXO12" s="473"/>
      <c r="CXP12" s="473"/>
      <c r="CXQ12" s="473"/>
      <c r="CXR12" s="473"/>
      <c r="CXS12" s="473"/>
      <c r="CXT12" s="473"/>
      <c r="CXU12" s="473"/>
      <c r="CXV12" s="473"/>
      <c r="CXW12" s="473"/>
      <c r="CXX12" s="473"/>
      <c r="CXY12" s="473"/>
      <c r="CXZ12" s="473"/>
      <c r="CYA12" s="473"/>
      <c r="CYB12" s="473"/>
      <c r="CYC12" s="473"/>
      <c r="CYD12" s="473"/>
      <c r="CYE12" s="473"/>
      <c r="CYF12" s="473"/>
      <c r="CYG12" s="473"/>
      <c r="CYH12" s="473"/>
      <c r="CYI12" s="473"/>
      <c r="CYJ12" s="473"/>
      <c r="CYK12" s="473"/>
      <c r="CYL12" s="473"/>
      <c r="CYM12" s="473"/>
      <c r="CYN12" s="473"/>
      <c r="CYO12" s="473"/>
      <c r="CYP12" s="473"/>
      <c r="CYQ12" s="473"/>
      <c r="CYR12" s="473"/>
      <c r="CYS12" s="473"/>
      <c r="CYT12" s="473"/>
      <c r="CYU12" s="473"/>
      <c r="CYV12" s="473"/>
      <c r="CYW12" s="473"/>
      <c r="CYX12" s="473"/>
      <c r="CYY12" s="473"/>
      <c r="CYZ12" s="473"/>
      <c r="CZA12" s="473"/>
      <c r="CZB12" s="473"/>
      <c r="CZC12" s="473"/>
      <c r="CZD12" s="473"/>
      <c r="CZE12" s="473"/>
      <c r="CZF12" s="473"/>
      <c r="CZG12" s="473"/>
      <c r="CZH12" s="473"/>
      <c r="CZI12" s="473"/>
      <c r="CZJ12" s="473"/>
      <c r="CZK12" s="473"/>
      <c r="CZL12" s="473"/>
      <c r="CZM12" s="473"/>
      <c r="CZN12" s="473"/>
      <c r="CZO12" s="473"/>
      <c r="CZP12" s="473"/>
      <c r="CZQ12" s="473"/>
      <c r="CZR12" s="473"/>
      <c r="CZS12" s="473"/>
      <c r="CZT12" s="473"/>
      <c r="CZU12" s="473"/>
      <c r="CZV12" s="473"/>
      <c r="CZW12" s="473"/>
      <c r="CZX12" s="473"/>
      <c r="CZY12" s="473"/>
      <c r="CZZ12" s="473"/>
      <c r="DAA12" s="473"/>
      <c r="DAB12" s="473"/>
      <c r="DAC12" s="473"/>
      <c r="DAD12" s="473"/>
      <c r="DAE12" s="473"/>
      <c r="DAF12" s="473"/>
      <c r="DAG12" s="473"/>
      <c r="DAH12" s="473"/>
      <c r="DAI12" s="473"/>
      <c r="DAJ12" s="473"/>
      <c r="DAK12" s="473"/>
      <c r="DAL12" s="473"/>
      <c r="DAM12" s="473"/>
      <c r="DAN12" s="473"/>
      <c r="DAO12" s="473"/>
      <c r="DAP12" s="473"/>
      <c r="DAQ12" s="473"/>
      <c r="DAR12" s="473"/>
      <c r="DAS12" s="473"/>
      <c r="DAT12" s="473"/>
      <c r="DAU12" s="473"/>
      <c r="DAV12" s="473"/>
      <c r="DAW12" s="473"/>
      <c r="DAX12" s="473"/>
      <c r="DAY12" s="473"/>
      <c r="DAZ12" s="473"/>
      <c r="DBA12" s="473"/>
      <c r="DBB12" s="473"/>
      <c r="DBC12" s="473"/>
      <c r="DBD12" s="473"/>
      <c r="DBE12" s="473"/>
      <c r="DBF12" s="473"/>
      <c r="DBG12" s="473"/>
      <c r="DBH12" s="473"/>
      <c r="DBI12" s="473"/>
      <c r="DBJ12" s="473"/>
      <c r="DBK12" s="473"/>
      <c r="DBL12" s="473"/>
      <c r="DBM12" s="473"/>
      <c r="DBN12" s="473"/>
      <c r="DBO12" s="473"/>
      <c r="DBP12" s="473"/>
      <c r="DBQ12" s="473"/>
      <c r="DBR12" s="473"/>
      <c r="DBS12" s="473"/>
      <c r="DBT12" s="473"/>
      <c r="DBU12" s="473"/>
      <c r="DBV12" s="473"/>
      <c r="DBW12" s="473"/>
      <c r="DBX12" s="473"/>
      <c r="DBY12" s="473"/>
      <c r="DBZ12" s="473"/>
      <c r="DCA12" s="473"/>
      <c r="DCB12" s="473"/>
      <c r="DCC12" s="473"/>
      <c r="DCD12" s="473"/>
      <c r="DCE12" s="473"/>
      <c r="DCF12" s="473"/>
      <c r="DCG12" s="473"/>
      <c r="DCH12" s="473"/>
      <c r="DCI12" s="473"/>
      <c r="DCJ12" s="473"/>
      <c r="DCK12" s="473"/>
      <c r="DCL12" s="473"/>
      <c r="DCM12" s="473"/>
      <c r="DCN12" s="473"/>
      <c r="DCO12" s="473"/>
      <c r="DCP12" s="473"/>
      <c r="DCQ12" s="473"/>
      <c r="DCR12" s="473"/>
      <c r="DCS12" s="473"/>
      <c r="DCT12" s="473"/>
      <c r="DCU12" s="473"/>
      <c r="DCV12" s="473"/>
      <c r="DCW12" s="473"/>
      <c r="DCX12" s="473"/>
      <c r="DCY12" s="473"/>
      <c r="DCZ12" s="473"/>
      <c r="DDA12" s="473"/>
      <c r="DDB12" s="473"/>
      <c r="DDC12" s="473"/>
      <c r="DDD12" s="473"/>
      <c r="DDE12" s="473"/>
      <c r="DDF12" s="473"/>
      <c r="DDG12" s="473"/>
      <c r="DDH12" s="473"/>
      <c r="DDI12" s="473"/>
      <c r="DDJ12" s="473"/>
      <c r="DDK12" s="473"/>
      <c r="DDL12" s="473"/>
      <c r="DDM12" s="473"/>
      <c r="DDN12" s="473"/>
      <c r="DDO12" s="473"/>
      <c r="DDP12" s="473"/>
      <c r="DDQ12" s="473"/>
      <c r="DDR12" s="473"/>
      <c r="DDS12" s="473"/>
      <c r="DDT12" s="473"/>
      <c r="DDU12" s="473"/>
      <c r="DDV12" s="473"/>
      <c r="DDW12" s="473"/>
      <c r="DDX12" s="473"/>
      <c r="DDY12" s="473"/>
      <c r="DDZ12" s="473"/>
      <c r="DEA12" s="473"/>
      <c r="DEB12" s="473"/>
      <c r="DEC12" s="473"/>
      <c r="DED12" s="473"/>
      <c r="DEE12" s="473"/>
      <c r="DEF12" s="473"/>
      <c r="DEG12" s="473"/>
      <c r="DEH12" s="473"/>
      <c r="DEI12" s="473"/>
      <c r="DEJ12" s="473"/>
      <c r="DEK12" s="473"/>
      <c r="DEL12" s="473"/>
      <c r="DEM12" s="473"/>
      <c r="DEN12" s="473"/>
      <c r="DEO12" s="473"/>
      <c r="DEP12" s="473"/>
      <c r="DEQ12" s="473"/>
      <c r="DER12" s="473"/>
      <c r="DES12" s="473"/>
      <c r="DET12" s="473"/>
      <c r="DEU12" s="473"/>
      <c r="DEV12" s="473"/>
      <c r="DEW12" s="473"/>
      <c r="DEX12" s="473"/>
      <c r="DEY12" s="473"/>
      <c r="DEZ12" s="473"/>
      <c r="DFA12" s="473"/>
      <c r="DFB12" s="473"/>
      <c r="DFC12" s="473"/>
      <c r="DFD12" s="473"/>
      <c r="DFE12" s="473"/>
      <c r="DFF12" s="473"/>
      <c r="DFG12" s="473"/>
      <c r="DFH12" s="473"/>
      <c r="DFI12" s="473"/>
      <c r="DFJ12" s="473"/>
      <c r="DFK12" s="473"/>
      <c r="DFL12" s="473"/>
      <c r="DFM12" s="473"/>
      <c r="DFN12" s="473"/>
      <c r="DFO12" s="473"/>
      <c r="DFP12" s="473"/>
      <c r="DFQ12" s="473"/>
      <c r="DFR12" s="473"/>
      <c r="DFS12" s="473"/>
      <c r="DFT12" s="473"/>
      <c r="DFU12" s="473"/>
      <c r="DFV12" s="473"/>
      <c r="DFW12" s="473"/>
      <c r="DFX12" s="473"/>
      <c r="DFY12" s="473"/>
      <c r="DFZ12" s="473"/>
      <c r="DGA12" s="473"/>
      <c r="DGB12" s="473"/>
      <c r="DGC12" s="473"/>
      <c r="DGD12" s="473"/>
      <c r="DGE12" s="473"/>
      <c r="DGF12" s="473"/>
      <c r="DGG12" s="473"/>
      <c r="DGH12" s="473"/>
      <c r="DGI12" s="473"/>
      <c r="DGJ12" s="473"/>
      <c r="DGK12" s="473"/>
      <c r="DGL12" s="473"/>
      <c r="DGM12" s="473"/>
      <c r="DGN12" s="473"/>
      <c r="DGO12" s="473"/>
      <c r="DGP12" s="473"/>
      <c r="DGQ12" s="473"/>
      <c r="DGR12" s="473"/>
      <c r="DGS12" s="473"/>
      <c r="DGT12" s="473"/>
      <c r="DGU12" s="473"/>
      <c r="DGV12" s="473"/>
      <c r="DGW12" s="473"/>
      <c r="DGX12" s="473"/>
      <c r="DGY12" s="473"/>
      <c r="DGZ12" s="473"/>
      <c r="DHA12" s="473"/>
      <c r="DHB12" s="473"/>
      <c r="DHC12" s="473"/>
      <c r="DHD12" s="473"/>
      <c r="DHE12" s="473"/>
      <c r="DHF12" s="473"/>
      <c r="DHG12" s="473"/>
      <c r="DHH12" s="473"/>
      <c r="DHI12" s="473"/>
      <c r="DHJ12" s="473"/>
      <c r="DHK12" s="473"/>
      <c r="DHL12" s="473"/>
      <c r="DHM12" s="473"/>
      <c r="DHN12" s="473"/>
      <c r="DHO12" s="473"/>
      <c r="DHP12" s="473"/>
      <c r="DHQ12" s="473"/>
      <c r="DHR12" s="473"/>
      <c r="DHS12" s="473"/>
      <c r="DHT12" s="473"/>
      <c r="DHU12" s="473"/>
      <c r="DHV12" s="473"/>
      <c r="DHW12" s="473"/>
      <c r="DHX12" s="473"/>
      <c r="DHY12" s="473"/>
      <c r="DHZ12" s="473"/>
      <c r="DIA12" s="473"/>
      <c r="DIB12" s="473"/>
      <c r="DIC12" s="473"/>
      <c r="DID12" s="473"/>
      <c r="DIE12" s="473"/>
      <c r="DIF12" s="473"/>
      <c r="DIG12" s="473"/>
      <c r="DIH12" s="473"/>
      <c r="DII12" s="473"/>
      <c r="DIJ12" s="473"/>
      <c r="DIK12" s="473"/>
      <c r="DIL12" s="473"/>
      <c r="DIM12" s="473"/>
      <c r="DIN12" s="473"/>
      <c r="DIO12" s="473"/>
      <c r="DIP12" s="473"/>
      <c r="DIQ12" s="473"/>
      <c r="DIR12" s="473"/>
      <c r="DIS12" s="473"/>
      <c r="DIT12" s="473"/>
      <c r="DIU12" s="473"/>
      <c r="DIV12" s="473"/>
      <c r="DIW12" s="473"/>
      <c r="DIX12" s="473"/>
      <c r="DIY12" s="473"/>
      <c r="DIZ12" s="473"/>
      <c r="DJA12" s="473"/>
      <c r="DJB12" s="473"/>
      <c r="DJC12" s="473"/>
      <c r="DJD12" s="473"/>
      <c r="DJE12" s="473"/>
      <c r="DJF12" s="473"/>
      <c r="DJG12" s="473"/>
      <c r="DJH12" s="473"/>
      <c r="DJI12" s="473"/>
      <c r="DJJ12" s="473"/>
      <c r="DJK12" s="473"/>
      <c r="DJL12" s="473"/>
      <c r="DJM12" s="473"/>
      <c r="DJN12" s="473"/>
      <c r="DJO12" s="473"/>
      <c r="DJP12" s="473"/>
      <c r="DJQ12" s="473"/>
      <c r="DJR12" s="473"/>
      <c r="DJS12" s="473"/>
      <c r="DJT12" s="473"/>
      <c r="DJU12" s="473"/>
      <c r="DJV12" s="473"/>
      <c r="DJW12" s="473"/>
      <c r="DJX12" s="473"/>
      <c r="DJY12" s="473"/>
      <c r="DJZ12" s="473"/>
      <c r="DKA12" s="473"/>
      <c r="DKB12" s="473"/>
      <c r="DKC12" s="473"/>
      <c r="DKD12" s="473"/>
      <c r="DKE12" s="473"/>
      <c r="DKF12" s="473"/>
      <c r="DKG12" s="473"/>
      <c r="DKH12" s="473"/>
      <c r="DKI12" s="473"/>
      <c r="DKJ12" s="473"/>
      <c r="DKK12" s="473"/>
      <c r="DKL12" s="473"/>
      <c r="DKM12" s="473"/>
      <c r="DKN12" s="473"/>
      <c r="DKO12" s="473"/>
      <c r="DKP12" s="473"/>
      <c r="DKQ12" s="473"/>
      <c r="DKR12" s="473"/>
      <c r="DKS12" s="473"/>
      <c r="DKT12" s="473"/>
      <c r="DKU12" s="473"/>
      <c r="DKV12" s="473"/>
      <c r="DKW12" s="473"/>
      <c r="DKX12" s="473"/>
      <c r="DKY12" s="473"/>
      <c r="DKZ12" s="473"/>
      <c r="DLA12" s="473"/>
      <c r="DLB12" s="473"/>
      <c r="DLC12" s="473"/>
      <c r="DLD12" s="473"/>
      <c r="DLE12" s="473"/>
      <c r="DLF12" s="473"/>
      <c r="DLG12" s="473"/>
      <c r="DLH12" s="473"/>
      <c r="DLI12" s="473"/>
      <c r="DLJ12" s="473"/>
      <c r="DLK12" s="473"/>
      <c r="DLL12" s="473"/>
      <c r="DLM12" s="473"/>
      <c r="DLN12" s="473"/>
      <c r="DLO12" s="473"/>
      <c r="DLP12" s="473"/>
      <c r="DLQ12" s="473"/>
      <c r="DLR12" s="473"/>
      <c r="DLS12" s="473"/>
      <c r="DLT12" s="473"/>
      <c r="DLU12" s="473"/>
      <c r="DLV12" s="473"/>
      <c r="DLW12" s="473"/>
      <c r="DLX12" s="473"/>
      <c r="DLY12" s="473"/>
      <c r="DLZ12" s="473"/>
      <c r="DMA12" s="473"/>
      <c r="DMB12" s="473"/>
      <c r="DMC12" s="473"/>
      <c r="DMD12" s="473"/>
      <c r="DME12" s="473"/>
      <c r="DMF12" s="473"/>
      <c r="DMG12" s="473"/>
      <c r="DMH12" s="473"/>
      <c r="DMI12" s="473"/>
      <c r="DMJ12" s="473"/>
      <c r="DMK12" s="473"/>
      <c r="DML12" s="473"/>
      <c r="DMM12" s="473"/>
      <c r="DMN12" s="473"/>
      <c r="DMO12" s="473"/>
      <c r="DMP12" s="473"/>
      <c r="DMQ12" s="473"/>
      <c r="DMR12" s="473"/>
      <c r="DMS12" s="473"/>
      <c r="DMT12" s="473"/>
      <c r="DMU12" s="473"/>
      <c r="DMV12" s="473"/>
      <c r="DMW12" s="473"/>
      <c r="DMX12" s="473"/>
      <c r="DMY12" s="473"/>
      <c r="DMZ12" s="473"/>
      <c r="DNA12" s="473"/>
      <c r="DNB12" s="473"/>
      <c r="DNC12" s="473"/>
      <c r="DND12" s="473"/>
      <c r="DNE12" s="473"/>
      <c r="DNF12" s="473"/>
      <c r="DNG12" s="473"/>
      <c r="DNH12" s="473"/>
      <c r="DNI12" s="473"/>
      <c r="DNJ12" s="473"/>
      <c r="DNK12" s="473"/>
      <c r="DNL12" s="473"/>
      <c r="DNM12" s="473"/>
      <c r="DNN12" s="473"/>
      <c r="DNO12" s="473"/>
      <c r="DNP12" s="473"/>
      <c r="DNQ12" s="473"/>
      <c r="DNR12" s="473"/>
      <c r="DNS12" s="473"/>
      <c r="DNT12" s="473"/>
      <c r="DNU12" s="473"/>
      <c r="DNV12" s="473"/>
      <c r="DNW12" s="473"/>
      <c r="DNX12" s="473"/>
      <c r="DNY12" s="473"/>
      <c r="DNZ12" s="473"/>
      <c r="DOA12" s="473"/>
      <c r="DOB12" s="473"/>
      <c r="DOC12" s="473"/>
      <c r="DOD12" s="473"/>
      <c r="DOE12" s="473"/>
      <c r="DOF12" s="473"/>
      <c r="DOG12" s="473"/>
      <c r="DOH12" s="473"/>
      <c r="DOI12" s="473"/>
      <c r="DOJ12" s="473"/>
      <c r="DOK12" s="473"/>
      <c r="DOL12" s="473"/>
      <c r="DOM12" s="473"/>
      <c r="DON12" s="473"/>
      <c r="DOO12" s="473"/>
      <c r="DOP12" s="473"/>
      <c r="DOQ12" s="473"/>
      <c r="DOR12" s="473"/>
      <c r="DOS12" s="473"/>
      <c r="DOT12" s="473"/>
      <c r="DOU12" s="473"/>
      <c r="DOV12" s="473"/>
      <c r="DOW12" s="473"/>
      <c r="DOX12" s="473"/>
      <c r="DOY12" s="473"/>
      <c r="DOZ12" s="473"/>
      <c r="DPA12" s="473"/>
      <c r="DPB12" s="473"/>
      <c r="DPC12" s="473"/>
      <c r="DPD12" s="473"/>
      <c r="DPE12" s="473"/>
      <c r="DPF12" s="473"/>
      <c r="DPG12" s="473"/>
      <c r="DPH12" s="473"/>
      <c r="DPI12" s="473"/>
      <c r="DPJ12" s="473"/>
      <c r="DPK12" s="473"/>
      <c r="DPL12" s="473"/>
      <c r="DPM12" s="473"/>
      <c r="DPN12" s="473"/>
      <c r="DPO12" s="473"/>
      <c r="DPP12" s="473"/>
      <c r="DPQ12" s="473"/>
      <c r="DPR12" s="473"/>
      <c r="DPS12" s="473"/>
      <c r="DPT12" s="473"/>
      <c r="DPU12" s="473"/>
      <c r="DPV12" s="473"/>
      <c r="DPW12" s="473"/>
      <c r="DPX12" s="473"/>
      <c r="DPY12" s="473"/>
      <c r="DPZ12" s="473"/>
      <c r="DQA12" s="473"/>
      <c r="DQB12" s="473"/>
      <c r="DQC12" s="473"/>
      <c r="DQD12" s="473"/>
      <c r="DQE12" s="473"/>
      <c r="DQF12" s="473"/>
      <c r="DQG12" s="473"/>
      <c r="DQH12" s="473"/>
      <c r="DQI12" s="473"/>
      <c r="DQJ12" s="473"/>
      <c r="DQK12" s="473"/>
      <c r="DQL12" s="473"/>
      <c r="DQM12" s="473"/>
      <c r="DQN12" s="473"/>
      <c r="DQO12" s="473"/>
      <c r="DQP12" s="473"/>
      <c r="DQQ12" s="473"/>
      <c r="DQR12" s="473"/>
      <c r="DQS12" s="473"/>
      <c r="DQT12" s="473"/>
      <c r="DQU12" s="473"/>
      <c r="DQV12" s="473"/>
      <c r="DQW12" s="473"/>
      <c r="DQX12" s="473"/>
      <c r="DQY12" s="473"/>
      <c r="DQZ12" s="473"/>
      <c r="DRA12" s="473"/>
      <c r="DRB12" s="473"/>
      <c r="DRC12" s="473"/>
      <c r="DRD12" s="473"/>
      <c r="DRE12" s="473"/>
      <c r="DRF12" s="473"/>
      <c r="DRG12" s="473"/>
      <c r="DRH12" s="473"/>
      <c r="DRI12" s="473"/>
      <c r="DRJ12" s="473"/>
      <c r="DRK12" s="473"/>
      <c r="DRL12" s="473"/>
      <c r="DRM12" s="473"/>
      <c r="DRN12" s="473"/>
      <c r="DRO12" s="473"/>
      <c r="DRP12" s="473"/>
      <c r="DRQ12" s="473"/>
      <c r="DRR12" s="473"/>
      <c r="DRS12" s="473"/>
      <c r="DRT12" s="473"/>
      <c r="DRU12" s="473"/>
      <c r="DRV12" s="473"/>
      <c r="DRW12" s="473"/>
      <c r="DRX12" s="473"/>
      <c r="DRY12" s="473"/>
      <c r="DRZ12" s="473"/>
      <c r="DSA12" s="473"/>
      <c r="DSB12" s="473"/>
      <c r="DSC12" s="473"/>
      <c r="DSD12" s="473"/>
      <c r="DSE12" s="473"/>
      <c r="DSF12" s="473"/>
      <c r="DSG12" s="473"/>
      <c r="DSH12" s="473"/>
      <c r="DSI12" s="473"/>
      <c r="DSJ12" s="473"/>
      <c r="DSK12" s="473"/>
      <c r="DSL12" s="473"/>
      <c r="DSM12" s="473"/>
      <c r="DSN12" s="473"/>
      <c r="DSO12" s="473"/>
      <c r="DSP12" s="473"/>
      <c r="DSQ12" s="473"/>
      <c r="DSR12" s="473"/>
      <c r="DSS12" s="473"/>
      <c r="DST12" s="473"/>
      <c r="DSU12" s="473"/>
      <c r="DSV12" s="473"/>
      <c r="DSW12" s="473"/>
      <c r="DSX12" s="473"/>
      <c r="DSY12" s="473"/>
      <c r="DSZ12" s="473"/>
      <c r="DTA12" s="473"/>
      <c r="DTB12" s="473"/>
      <c r="DTC12" s="473"/>
      <c r="DTD12" s="473"/>
      <c r="DTE12" s="473"/>
      <c r="DTF12" s="473"/>
      <c r="DTG12" s="473"/>
      <c r="DTH12" s="473"/>
      <c r="DTI12" s="473"/>
      <c r="DTJ12" s="473"/>
      <c r="DTK12" s="473"/>
      <c r="DTL12" s="473"/>
      <c r="DTM12" s="473"/>
      <c r="DTN12" s="473"/>
      <c r="DTO12" s="473"/>
      <c r="DTP12" s="473"/>
      <c r="DTQ12" s="473"/>
      <c r="DTR12" s="473"/>
      <c r="DTS12" s="473"/>
      <c r="DTT12" s="473"/>
      <c r="DTU12" s="473"/>
      <c r="DTV12" s="473"/>
      <c r="DTW12" s="473"/>
      <c r="DTX12" s="473"/>
      <c r="DTY12" s="473"/>
      <c r="DTZ12" s="473"/>
      <c r="DUA12" s="473"/>
      <c r="DUB12" s="473"/>
      <c r="DUC12" s="473"/>
      <c r="DUD12" s="473"/>
      <c r="DUE12" s="473"/>
      <c r="DUF12" s="473"/>
      <c r="DUG12" s="473"/>
      <c r="DUH12" s="473"/>
      <c r="DUI12" s="473"/>
      <c r="DUJ12" s="473"/>
      <c r="DUK12" s="473"/>
      <c r="DUL12" s="473"/>
      <c r="DUM12" s="473"/>
      <c r="DUN12" s="473"/>
      <c r="DUO12" s="473"/>
      <c r="DUP12" s="473"/>
      <c r="DUQ12" s="473"/>
      <c r="DUR12" s="473"/>
      <c r="DUS12" s="473"/>
      <c r="DUT12" s="473"/>
      <c r="DUU12" s="473"/>
      <c r="DUV12" s="473"/>
      <c r="DUW12" s="473"/>
      <c r="DUX12" s="473"/>
      <c r="DUY12" s="473"/>
      <c r="DUZ12" s="473"/>
      <c r="DVA12" s="473"/>
      <c r="DVB12" s="473"/>
      <c r="DVC12" s="473"/>
      <c r="DVD12" s="473"/>
      <c r="DVE12" s="473"/>
      <c r="DVF12" s="473"/>
      <c r="DVG12" s="473"/>
      <c r="DVH12" s="473"/>
      <c r="DVI12" s="473"/>
      <c r="DVJ12" s="473"/>
      <c r="DVK12" s="473"/>
      <c r="DVL12" s="473"/>
      <c r="DVM12" s="473"/>
      <c r="DVN12" s="473"/>
      <c r="DVO12" s="473"/>
      <c r="DVP12" s="473"/>
      <c r="DVQ12" s="473"/>
      <c r="DVR12" s="473"/>
      <c r="DVS12" s="473"/>
      <c r="DVT12" s="473"/>
      <c r="DVU12" s="473"/>
      <c r="DVV12" s="473"/>
      <c r="DVW12" s="473"/>
      <c r="DVX12" s="473"/>
      <c r="DVY12" s="473"/>
      <c r="DVZ12" s="473"/>
      <c r="DWA12" s="473"/>
      <c r="DWB12" s="473"/>
      <c r="DWC12" s="473"/>
      <c r="DWD12" s="473"/>
      <c r="DWE12" s="473"/>
      <c r="DWF12" s="473"/>
      <c r="DWG12" s="473"/>
      <c r="DWH12" s="473"/>
      <c r="DWI12" s="473"/>
      <c r="DWJ12" s="473"/>
      <c r="DWK12" s="473"/>
      <c r="DWL12" s="473"/>
      <c r="DWM12" s="473"/>
      <c r="DWN12" s="473"/>
      <c r="DWO12" s="473"/>
      <c r="DWP12" s="473"/>
      <c r="DWQ12" s="473"/>
      <c r="DWR12" s="473"/>
      <c r="DWS12" s="473"/>
      <c r="DWT12" s="473"/>
      <c r="DWU12" s="473"/>
      <c r="DWV12" s="473"/>
      <c r="DWW12" s="473"/>
      <c r="DWX12" s="473"/>
      <c r="DWY12" s="473"/>
      <c r="DWZ12" s="473"/>
      <c r="DXA12" s="473"/>
      <c r="DXB12" s="473"/>
      <c r="DXC12" s="473"/>
      <c r="DXD12" s="473"/>
      <c r="DXE12" s="473"/>
      <c r="DXF12" s="473"/>
      <c r="DXG12" s="473"/>
      <c r="DXH12" s="473"/>
      <c r="DXI12" s="473"/>
      <c r="DXJ12" s="473"/>
      <c r="DXK12" s="473"/>
      <c r="DXL12" s="473"/>
      <c r="DXM12" s="473"/>
      <c r="DXN12" s="473"/>
      <c r="DXO12" s="473"/>
      <c r="DXP12" s="473"/>
      <c r="DXQ12" s="473"/>
      <c r="DXR12" s="473"/>
      <c r="DXS12" s="473"/>
      <c r="DXT12" s="473"/>
      <c r="DXU12" s="473"/>
      <c r="DXV12" s="473"/>
      <c r="DXW12" s="473"/>
      <c r="DXX12" s="473"/>
      <c r="DXY12" s="473"/>
      <c r="DXZ12" s="473"/>
      <c r="DYA12" s="473"/>
      <c r="DYB12" s="473"/>
      <c r="DYC12" s="473"/>
      <c r="DYD12" s="473"/>
      <c r="DYE12" s="473"/>
      <c r="DYF12" s="473"/>
      <c r="DYG12" s="473"/>
      <c r="DYH12" s="473"/>
      <c r="DYI12" s="473"/>
      <c r="DYJ12" s="473"/>
      <c r="DYK12" s="473"/>
      <c r="DYL12" s="473"/>
      <c r="DYM12" s="473"/>
      <c r="DYN12" s="473"/>
      <c r="DYO12" s="473"/>
      <c r="DYP12" s="473"/>
      <c r="DYQ12" s="473"/>
      <c r="DYR12" s="473"/>
      <c r="DYS12" s="473"/>
      <c r="DYT12" s="473"/>
      <c r="DYU12" s="473"/>
      <c r="DYV12" s="473"/>
      <c r="DYW12" s="473"/>
      <c r="DYX12" s="473"/>
      <c r="DYY12" s="473"/>
      <c r="DYZ12" s="473"/>
      <c r="DZA12" s="473"/>
      <c r="DZB12" s="473"/>
      <c r="DZC12" s="473"/>
      <c r="DZD12" s="473"/>
      <c r="DZE12" s="473"/>
      <c r="DZF12" s="473"/>
      <c r="DZG12" s="473"/>
      <c r="DZH12" s="473"/>
      <c r="DZI12" s="473"/>
      <c r="DZJ12" s="473"/>
      <c r="DZK12" s="473"/>
      <c r="DZL12" s="473"/>
      <c r="DZM12" s="473"/>
      <c r="DZN12" s="473"/>
      <c r="DZO12" s="473"/>
      <c r="DZP12" s="473"/>
      <c r="DZQ12" s="473"/>
      <c r="DZR12" s="473"/>
      <c r="DZS12" s="473"/>
      <c r="DZT12" s="473"/>
      <c r="DZU12" s="473"/>
      <c r="DZV12" s="473"/>
      <c r="DZW12" s="473"/>
      <c r="DZX12" s="473"/>
      <c r="DZY12" s="473"/>
      <c r="DZZ12" s="473"/>
      <c r="EAA12" s="473"/>
      <c r="EAB12" s="473"/>
      <c r="EAC12" s="473"/>
      <c r="EAD12" s="473"/>
      <c r="EAE12" s="473"/>
      <c r="EAF12" s="473"/>
      <c r="EAG12" s="473"/>
      <c r="EAH12" s="473"/>
      <c r="EAI12" s="473"/>
      <c r="EAJ12" s="473"/>
      <c r="EAK12" s="473"/>
      <c r="EAL12" s="473"/>
      <c r="EAM12" s="473"/>
      <c r="EAN12" s="473"/>
      <c r="EAO12" s="473"/>
      <c r="EAP12" s="473"/>
      <c r="EAQ12" s="473"/>
      <c r="EAR12" s="473"/>
      <c r="EAS12" s="473"/>
      <c r="EAT12" s="473"/>
      <c r="EAU12" s="473"/>
      <c r="EAV12" s="473"/>
      <c r="EAW12" s="473"/>
      <c r="EAX12" s="473"/>
      <c r="EAY12" s="473"/>
      <c r="EAZ12" s="473"/>
      <c r="EBA12" s="473"/>
      <c r="EBB12" s="473"/>
      <c r="EBC12" s="473"/>
      <c r="EBD12" s="473"/>
      <c r="EBE12" s="473"/>
      <c r="EBF12" s="473"/>
      <c r="EBG12" s="473"/>
      <c r="EBH12" s="473"/>
      <c r="EBI12" s="473"/>
      <c r="EBJ12" s="473"/>
      <c r="EBK12" s="473"/>
      <c r="EBL12" s="473"/>
      <c r="EBM12" s="473"/>
      <c r="EBN12" s="473"/>
      <c r="EBO12" s="473"/>
      <c r="EBP12" s="473"/>
      <c r="EBQ12" s="473"/>
      <c r="EBR12" s="473"/>
      <c r="EBS12" s="473"/>
      <c r="EBT12" s="473"/>
      <c r="EBU12" s="473"/>
      <c r="EBV12" s="473"/>
      <c r="EBW12" s="473"/>
      <c r="EBX12" s="473"/>
      <c r="EBY12" s="473"/>
      <c r="EBZ12" s="473"/>
      <c r="ECA12" s="473"/>
      <c r="ECB12" s="473"/>
      <c r="ECC12" s="473"/>
      <c r="ECD12" s="473"/>
      <c r="ECE12" s="473"/>
      <c r="ECF12" s="473"/>
      <c r="ECG12" s="473"/>
      <c r="ECH12" s="473"/>
      <c r="ECI12" s="473"/>
      <c r="ECJ12" s="473"/>
      <c r="ECK12" s="473"/>
      <c r="ECL12" s="473"/>
      <c r="ECM12" s="473"/>
      <c r="ECN12" s="473"/>
      <c r="ECO12" s="473"/>
      <c r="ECP12" s="473"/>
      <c r="ECQ12" s="473"/>
      <c r="ECR12" s="473"/>
      <c r="ECS12" s="473"/>
      <c r="ECT12" s="473"/>
      <c r="ECU12" s="473"/>
      <c r="ECV12" s="473"/>
      <c r="ECW12" s="473"/>
      <c r="ECX12" s="473"/>
      <c r="ECY12" s="473"/>
      <c r="ECZ12" s="473"/>
      <c r="EDA12" s="473"/>
      <c r="EDB12" s="473"/>
      <c r="EDC12" s="473"/>
      <c r="EDD12" s="473"/>
      <c r="EDE12" s="473"/>
      <c r="EDF12" s="473"/>
      <c r="EDG12" s="473"/>
      <c r="EDH12" s="473"/>
      <c r="EDI12" s="473"/>
      <c r="EDJ12" s="473"/>
      <c r="EDK12" s="473"/>
      <c r="EDL12" s="473"/>
      <c r="EDM12" s="473"/>
      <c r="EDN12" s="473"/>
      <c r="EDO12" s="473"/>
      <c r="EDP12" s="473"/>
      <c r="EDQ12" s="473"/>
      <c r="EDR12" s="473"/>
      <c r="EDS12" s="473"/>
      <c r="EDT12" s="473"/>
      <c r="EDU12" s="473"/>
      <c r="EDV12" s="473"/>
      <c r="EDW12" s="473"/>
      <c r="EDX12" s="473"/>
      <c r="EDY12" s="473"/>
      <c r="EDZ12" s="473"/>
      <c r="EEA12" s="473"/>
      <c r="EEB12" s="473"/>
      <c r="EEC12" s="473"/>
      <c r="EED12" s="473"/>
      <c r="EEE12" s="473"/>
      <c r="EEF12" s="473"/>
      <c r="EEG12" s="473"/>
      <c r="EEH12" s="473"/>
      <c r="EEI12" s="473"/>
      <c r="EEJ12" s="473"/>
      <c r="EEK12" s="473"/>
      <c r="EEL12" s="473"/>
      <c r="EEM12" s="473"/>
      <c r="EEN12" s="473"/>
      <c r="EEO12" s="473"/>
      <c r="EEP12" s="473"/>
      <c r="EEQ12" s="473"/>
      <c r="EER12" s="473"/>
      <c r="EES12" s="473"/>
      <c r="EET12" s="473"/>
      <c r="EEU12" s="473"/>
      <c r="EEV12" s="473"/>
      <c r="EEW12" s="473"/>
      <c r="EEX12" s="473"/>
      <c r="EEY12" s="473"/>
      <c r="EEZ12" s="473"/>
      <c r="EFA12" s="473"/>
      <c r="EFB12" s="473"/>
      <c r="EFC12" s="473"/>
      <c r="EFD12" s="473"/>
      <c r="EFE12" s="473"/>
      <c r="EFF12" s="473"/>
      <c r="EFG12" s="473"/>
      <c r="EFH12" s="473"/>
      <c r="EFI12" s="473"/>
      <c r="EFJ12" s="473"/>
      <c r="EFK12" s="473"/>
      <c r="EFL12" s="473"/>
      <c r="EFM12" s="473"/>
      <c r="EFN12" s="473"/>
      <c r="EFO12" s="473"/>
      <c r="EFP12" s="473"/>
      <c r="EFQ12" s="473"/>
      <c r="EFR12" s="473"/>
      <c r="EFS12" s="473"/>
      <c r="EFT12" s="473"/>
      <c r="EFU12" s="473"/>
      <c r="EFV12" s="473"/>
      <c r="EFW12" s="473"/>
      <c r="EFX12" s="473"/>
      <c r="EFY12" s="473"/>
      <c r="EFZ12" s="473"/>
      <c r="EGA12" s="473"/>
      <c r="EGB12" s="473"/>
      <c r="EGC12" s="473"/>
      <c r="EGD12" s="473"/>
      <c r="EGE12" s="473"/>
      <c r="EGF12" s="473"/>
      <c r="EGG12" s="473"/>
      <c r="EGH12" s="473"/>
      <c r="EGI12" s="473"/>
      <c r="EGJ12" s="473"/>
      <c r="EGK12" s="473"/>
      <c r="EGL12" s="473"/>
      <c r="EGM12" s="473"/>
      <c r="EGN12" s="473"/>
      <c r="EGO12" s="473"/>
      <c r="EGP12" s="473"/>
      <c r="EGQ12" s="473"/>
      <c r="EGR12" s="473"/>
      <c r="EGS12" s="473"/>
      <c r="EGT12" s="473"/>
      <c r="EGU12" s="473"/>
      <c r="EGV12" s="473"/>
      <c r="EGW12" s="473"/>
      <c r="EGX12" s="473"/>
      <c r="EGY12" s="473"/>
      <c r="EGZ12" s="473"/>
      <c r="EHA12" s="473"/>
      <c r="EHB12" s="473"/>
      <c r="EHC12" s="473"/>
      <c r="EHD12" s="473"/>
      <c r="EHE12" s="473"/>
      <c r="EHF12" s="473"/>
      <c r="EHG12" s="473"/>
      <c r="EHH12" s="473"/>
      <c r="EHI12" s="473"/>
      <c r="EHJ12" s="473"/>
      <c r="EHK12" s="473"/>
      <c r="EHL12" s="473"/>
      <c r="EHM12" s="473"/>
      <c r="EHN12" s="473"/>
      <c r="EHO12" s="473"/>
      <c r="EHP12" s="473"/>
      <c r="EHQ12" s="473"/>
      <c r="EHR12" s="473"/>
      <c r="EHS12" s="473"/>
      <c r="EHT12" s="473"/>
      <c r="EHU12" s="473"/>
      <c r="EHV12" s="473"/>
      <c r="EHW12" s="473"/>
      <c r="EHX12" s="473"/>
      <c r="EHY12" s="473"/>
      <c r="EHZ12" s="473"/>
      <c r="EIA12" s="473"/>
      <c r="EIB12" s="473"/>
      <c r="EIC12" s="473"/>
      <c r="EID12" s="473"/>
      <c r="EIE12" s="473"/>
      <c r="EIF12" s="473"/>
      <c r="EIG12" s="473"/>
      <c r="EIH12" s="473"/>
      <c r="EII12" s="473"/>
      <c r="EIJ12" s="473"/>
      <c r="EIK12" s="473"/>
      <c r="EIL12" s="473"/>
      <c r="EIM12" s="473"/>
      <c r="EIN12" s="473"/>
      <c r="EIO12" s="473"/>
      <c r="EIP12" s="473"/>
      <c r="EIQ12" s="473"/>
      <c r="EIR12" s="473"/>
      <c r="EIS12" s="473"/>
      <c r="EIT12" s="473"/>
      <c r="EIU12" s="473"/>
      <c r="EIV12" s="473"/>
      <c r="EIW12" s="473"/>
      <c r="EIX12" s="473"/>
      <c r="EIY12" s="473"/>
      <c r="EIZ12" s="473"/>
      <c r="EJA12" s="473"/>
      <c r="EJB12" s="473"/>
      <c r="EJC12" s="473"/>
      <c r="EJD12" s="473"/>
      <c r="EJE12" s="473"/>
      <c r="EJF12" s="473"/>
      <c r="EJG12" s="473"/>
      <c r="EJH12" s="473"/>
      <c r="EJI12" s="473"/>
      <c r="EJJ12" s="473"/>
      <c r="EJK12" s="473"/>
      <c r="EJL12" s="473"/>
      <c r="EJM12" s="473"/>
      <c r="EJN12" s="473"/>
      <c r="EJO12" s="473"/>
      <c r="EJP12" s="473"/>
      <c r="EJQ12" s="473"/>
      <c r="EJR12" s="473"/>
      <c r="EJS12" s="473"/>
      <c r="EJT12" s="473"/>
      <c r="EJU12" s="473"/>
      <c r="EJV12" s="473"/>
      <c r="EJW12" s="473"/>
      <c r="EJX12" s="473"/>
      <c r="EJY12" s="473"/>
      <c r="EJZ12" s="473"/>
      <c r="EKA12" s="473"/>
      <c r="EKB12" s="473"/>
      <c r="EKC12" s="473"/>
      <c r="EKD12" s="473"/>
      <c r="EKE12" s="473"/>
      <c r="EKF12" s="473"/>
      <c r="EKG12" s="473"/>
      <c r="EKH12" s="473"/>
      <c r="EKI12" s="473"/>
      <c r="EKJ12" s="473"/>
      <c r="EKK12" s="473"/>
      <c r="EKL12" s="473"/>
      <c r="EKM12" s="473"/>
      <c r="EKN12" s="473"/>
      <c r="EKO12" s="473"/>
      <c r="EKP12" s="473"/>
      <c r="EKQ12" s="473"/>
      <c r="EKR12" s="473"/>
      <c r="EKS12" s="473"/>
      <c r="EKT12" s="473"/>
      <c r="EKU12" s="473"/>
      <c r="EKV12" s="473"/>
      <c r="EKW12" s="473"/>
      <c r="EKX12" s="473"/>
      <c r="EKY12" s="473"/>
      <c r="EKZ12" s="473"/>
      <c r="ELA12" s="473"/>
      <c r="ELB12" s="473"/>
      <c r="ELC12" s="473"/>
      <c r="ELD12" s="473"/>
      <c r="ELE12" s="473"/>
      <c r="ELF12" s="473"/>
      <c r="ELG12" s="473"/>
      <c r="ELH12" s="473"/>
      <c r="ELI12" s="473"/>
      <c r="ELJ12" s="473"/>
      <c r="ELK12" s="473"/>
      <c r="ELL12" s="473"/>
      <c r="ELM12" s="473"/>
      <c r="ELN12" s="473"/>
      <c r="ELO12" s="473"/>
      <c r="ELP12" s="473"/>
      <c r="ELQ12" s="473"/>
      <c r="ELR12" s="473"/>
      <c r="ELS12" s="473"/>
      <c r="ELT12" s="473"/>
      <c r="ELU12" s="473"/>
      <c r="ELV12" s="473"/>
      <c r="ELW12" s="473"/>
      <c r="ELX12" s="473"/>
      <c r="ELY12" s="473"/>
      <c r="ELZ12" s="473"/>
      <c r="EMA12" s="473"/>
      <c r="EMB12" s="473"/>
      <c r="EMC12" s="473"/>
      <c r="EMD12" s="473"/>
      <c r="EME12" s="473"/>
      <c r="EMF12" s="473"/>
      <c r="EMG12" s="473"/>
      <c r="EMH12" s="473"/>
      <c r="EMI12" s="473"/>
      <c r="EMJ12" s="473"/>
      <c r="EMK12" s="473"/>
      <c r="EML12" s="473"/>
      <c r="EMM12" s="473"/>
      <c r="EMN12" s="473"/>
      <c r="EMO12" s="473"/>
      <c r="EMP12" s="473"/>
      <c r="EMQ12" s="473"/>
      <c r="EMR12" s="473"/>
      <c r="EMS12" s="473"/>
      <c r="EMT12" s="473"/>
      <c r="EMU12" s="473"/>
      <c r="EMV12" s="473"/>
      <c r="EMW12" s="473"/>
      <c r="EMX12" s="473"/>
      <c r="EMY12" s="473"/>
      <c r="EMZ12" s="473"/>
      <c r="ENA12" s="473"/>
      <c r="ENB12" s="473"/>
      <c r="ENC12" s="473"/>
      <c r="END12" s="473"/>
      <c r="ENE12" s="473"/>
      <c r="ENF12" s="473"/>
      <c r="ENG12" s="473"/>
      <c r="ENH12" s="473"/>
      <c r="ENI12" s="473"/>
      <c r="ENJ12" s="473"/>
      <c r="ENK12" s="473"/>
      <c r="ENL12" s="473"/>
      <c r="ENM12" s="473"/>
      <c r="ENN12" s="473"/>
      <c r="ENO12" s="473"/>
      <c r="ENP12" s="473"/>
      <c r="ENQ12" s="473"/>
      <c r="ENR12" s="473"/>
      <c r="ENS12" s="473"/>
      <c r="ENT12" s="473"/>
      <c r="ENU12" s="473"/>
      <c r="ENV12" s="473"/>
      <c r="ENW12" s="473"/>
      <c r="ENX12" s="473"/>
      <c r="ENY12" s="473"/>
      <c r="ENZ12" s="473"/>
      <c r="EOA12" s="473"/>
      <c r="EOB12" s="473"/>
      <c r="EOC12" s="473"/>
      <c r="EOD12" s="473"/>
      <c r="EOE12" s="473"/>
      <c r="EOF12" s="473"/>
      <c r="EOG12" s="473"/>
      <c r="EOH12" s="473"/>
      <c r="EOI12" s="473"/>
      <c r="EOJ12" s="473"/>
      <c r="EOK12" s="473"/>
      <c r="EOL12" s="473"/>
      <c r="EOM12" s="473"/>
      <c r="EON12" s="473"/>
      <c r="EOO12" s="473"/>
      <c r="EOP12" s="473"/>
      <c r="EOQ12" s="473"/>
      <c r="EOR12" s="473"/>
      <c r="EOS12" s="473"/>
      <c r="EOT12" s="473"/>
      <c r="EOU12" s="473"/>
      <c r="EOV12" s="473"/>
      <c r="EOW12" s="473"/>
      <c r="EOX12" s="473"/>
      <c r="EOY12" s="473"/>
      <c r="EOZ12" s="473"/>
      <c r="EPA12" s="473"/>
      <c r="EPB12" s="473"/>
      <c r="EPC12" s="473"/>
      <c r="EPD12" s="473"/>
      <c r="EPE12" s="473"/>
      <c r="EPF12" s="473"/>
      <c r="EPG12" s="473"/>
      <c r="EPH12" s="473"/>
      <c r="EPI12" s="473"/>
      <c r="EPJ12" s="473"/>
      <c r="EPK12" s="473"/>
      <c r="EPL12" s="473"/>
      <c r="EPM12" s="473"/>
      <c r="EPN12" s="473"/>
      <c r="EPO12" s="473"/>
      <c r="EPP12" s="473"/>
      <c r="EPQ12" s="473"/>
      <c r="EPR12" s="473"/>
      <c r="EPS12" s="473"/>
      <c r="EPT12" s="473"/>
      <c r="EPU12" s="473"/>
      <c r="EPV12" s="473"/>
      <c r="EPW12" s="473"/>
      <c r="EPX12" s="473"/>
      <c r="EPY12" s="473"/>
      <c r="EPZ12" s="473"/>
      <c r="EQA12" s="473"/>
      <c r="EQB12" s="473"/>
      <c r="EQC12" s="473"/>
      <c r="EQD12" s="473"/>
      <c r="EQE12" s="473"/>
      <c r="EQF12" s="473"/>
      <c r="EQG12" s="473"/>
      <c r="EQH12" s="473"/>
      <c r="EQI12" s="473"/>
      <c r="EQJ12" s="473"/>
      <c r="EQK12" s="473"/>
      <c r="EQL12" s="473"/>
      <c r="EQM12" s="473"/>
      <c r="EQN12" s="473"/>
      <c r="EQO12" s="473"/>
      <c r="EQP12" s="473"/>
      <c r="EQQ12" s="473"/>
      <c r="EQR12" s="473"/>
      <c r="EQS12" s="473"/>
      <c r="EQT12" s="473"/>
      <c r="EQU12" s="473"/>
      <c r="EQV12" s="473"/>
      <c r="EQW12" s="473"/>
      <c r="EQX12" s="473"/>
      <c r="EQY12" s="473"/>
      <c r="EQZ12" s="473"/>
      <c r="ERA12" s="473"/>
      <c r="ERB12" s="473"/>
      <c r="ERC12" s="473"/>
      <c r="ERD12" s="473"/>
      <c r="ERE12" s="473"/>
      <c r="ERF12" s="473"/>
      <c r="ERG12" s="473"/>
      <c r="ERH12" s="473"/>
      <c r="ERI12" s="473"/>
      <c r="ERJ12" s="473"/>
      <c r="ERK12" s="473"/>
      <c r="ERL12" s="473"/>
      <c r="ERM12" s="473"/>
      <c r="ERN12" s="473"/>
      <c r="ERO12" s="473"/>
      <c r="ERP12" s="473"/>
      <c r="ERQ12" s="473"/>
      <c r="ERR12" s="473"/>
      <c r="ERS12" s="473"/>
      <c r="ERT12" s="473"/>
      <c r="ERU12" s="473"/>
      <c r="ERV12" s="473"/>
      <c r="ERW12" s="473"/>
      <c r="ERX12" s="473"/>
      <c r="ERY12" s="473"/>
      <c r="ERZ12" s="473"/>
      <c r="ESA12" s="473"/>
      <c r="ESB12" s="473"/>
      <c r="ESC12" s="473"/>
      <c r="ESD12" s="473"/>
      <c r="ESE12" s="473"/>
      <c r="ESF12" s="473"/>
      <c r="ESG12" s="473"/>
      <c r="ESH12" s="473"/>
      <c r="ESI12" s="473"/>
      <c r="ESJ12" s="473"/>
      <c r="ESK12" s="473"/>
      <c r="ESL12" s="473"/>
      <c r="ESM12" s="473"/>
      <c r="ESN12" s="473"/>
      <c r="ESO12" s="473"/>
      <c r="ESP12" s="473"/>
      <c r="ESQ12" s="473"/>
      <c r="ESR12" s="473"/>
      <c r="ESS12" s="473"/>
      <c r="EST12" s="473"/>
      <c r="ESU12" s="473"/>
      <c r="ESV12" s="473"/>
      <c r="ESW12" s="473"/>
      <c r="ESX12" s="473"/>
      <c r="ESY12" s="473"/>
      <c r="ESZ12" s="473"/>
      <c r="ETA12" s="473"/>
      <c r="ETB12" s="473"/>
      <c r="ETC12" s="473"/>
      <c r="ETD12" s="473"/>
      <c r="ETE12" s="473"/>
      <c r="ETF12" s="473"/>
      <c r="ETG12" s="473"/>
      <c r="ETH12" s="473"/>
      <c r="ETI12" s="473"/>
      <c r="ETJ12" s="473"/>
      <c r="ETK12" s="473"/>
      <c r="ETL12" s="473"/>
      <c r="ETM12" s="473"/>
      <c r="ETN12" s="473"/>
      <c r="ETO12" s="473"/>
      <c r="ETP12" s="473"/>
      <c r="ETQ12" s="473"/>
      <c r="ETR12" s="473"/>
      <c r="ETS12" s="473"/>
      <c r="ETT12" s="473"/>
      <c r="ETU12" s="473"/>
      <c r="ETV12" s="473"/>
      <c r="ETW12" s="473"/>
      <c r="ETX12" s="473"/>
      <c r="ETY12" s="473"/>
      <c r="ETZ12" s="473"/>
      <c r="EUA12" s="473"/>
      <c r="EUB12" s="473"/>
      <c r="EUC12" s="473"/>
      <c r="EUD12" s="473"/>
      <c r="EUE12" s="473"/>
      <c r="EUF12" s="473"/>
      <c r="EUG12" s="473"/>
      <c r="EUH12" s="473"/>
      <c r="EUI12" s="473"/>
      <c r="EUJ12" s="473"/>
      <c r="EUK12" s="473"/>
      <c r="EUL12" s="473"/>
      <c r="EUM12" s="473"/>
      <c r="EUN12" s="473"/>
      <c r="EUO12" s="473"/>
      <c r="EUP12" s="473"/>
      <c r="EUQ12" s="473"/>
      <c r="EUR12" s="473"/>
      <c r="EUS12" s="473"/>
      <c r="EUT12" s="473"/>
      <c r="EUU12" s="473"/>
      <c r="EUV12" s="473"/>
      <c r="EUW12" s="473"/>
      <c r="EUX12" s="473"/>
      <c r="EUY12" s="473"/>
      <c r="EUZ12" s="473"/>
      <c r="EVA12" s="473"/>
      <c r="EVB12" s="473"/>
      <c r="EVC12" s="473"/>
      <c r="EVD12" s="473"/>
      <c r="EVE12" s="473"/>
      <c r="EVF12" s="473"/>
      <c r="EVG12" s="473"/>
      <c r="EVH12" s="473"/>
      <c r="EVI12" s="473"/>
      <c r="EVJ12" s="473"/>
      <c r="EVK12" s="473"/>
      <c r="EVL12" s="473"/>
      <c r="EVM12" s="473"/>
      <c r="EVN12" s="473"/>
      <c r="EVO12" s="473"/>
      <c r="EVP12" s="473"/>
      <c r="EVQ12" s="473"/>
      <c r="EVR12" s="473"/>
      <c r="EVS12" s="473"/>
      <c r="EVT12" s="473"/>
      <c r="EVU12" s="473"/>
      <c r="EVV12" s="473"/>
      <c r="EVW12" s="473"/>
      <c r="EVX12" s="473"/>
      <c r="EVY12" s="473"/>
      <c r="EVZ12" s="473"/>
      <c r="EWA12" s="473"/>
      <c r="EWB12" s="473"/>
      <c r="EWC12" s="473"/>
      <c r="EWD12" s="473"/>
      <c r="EWE12" s="473"/>
      <c r="EWF12" s="473"/>
      <c r="EWG12" s="473"/>
      <c r="EWH12" s="473"/>
      <c r="EWI12" s="473"/>
      <c r="EWJ12" s="473"/>
      <c r="EWK12" s="473"/>
      <c r="EWL12" s="473"/>
      <c r="EWM12" s="473"/>
      <c r="EWN12" s="473"/>
      <c r="EWO12" s="473"/>
      <c r="EWP12" s="473"/>
      <c r="EWQ12" s="473"/>
      <c r="EWR12" s="473"/>
      <c r="EWS12" s="473"/>
      <c r="EWT12" s="473"/>
      <c r="EWU12" s="473"/>
      <c r="EWV12" s="473"/>
      <c r="EWW12" s="473"/>
      <c r="EWX12" s="473"/>
      <c r="EWY12" s="473"/>
      <c r="EWZ12" s="473"/>
      <c r="EXA12" s="473"/>
      <c r="EXB12" s="473"/>
      <c r="EXC12" s="473"/>
      <c r="EXD12" s="473"/>
      <c r="EXE12" s="473"/>
      <c r="EXF12" s="473"/>
      <c r="EXG12" s="473"/>
      <c r="EXH12" s="473"/>
      <c r="EXI12" s="473"/>
      <c r="EXJ12" s="473"/>
      <c r="EXK12" s="473"/>
      <c r="EXL12" s="473"/>
      <c r="EXM12" s="473"/>
      <c r="EXN12" s="473"/>
      <c r="EXO12" s="473"/>
      <c r="EXP12" s="473"/>
      <c r="EXQ12" s="473"/>
      <c r="EXR12" s="473"/>
      <c r="EXS12" s="473"/>
      <c r="EXT12" s="473"/>
      <c r="EXU12" s="473"/>
      <c r="EXV12" s="473"/>
      <c r="EXW12" s="473"/>
      <c r="EXX12" s="473"/>
      <c r="EXY12" s="473"/>
      <c r="EXZ12" s="473"/>
      <c r="EYA12" s="473"/>
      <c r="EYB12" s="473"/>
      <c r="EYC12" s="473"/>
      <c r="EYD12" s="473"/>
      <c r="EYE12" s="473"/>
      <c r="EYF12" s="473"/>
      <c r="EYG12" s="473"/>
      <c r="EYH12" s="473"/>
      <c r="EYI12" s="473"/>
      <c r="EYJ12" s="473"/>
      <c r="EYK12" s="473"/>
      <c r="EYL12" s="473"/>
      <c r="EYM12" s="473"/>
      <c r="EYN12" s="473"/>
      <c r="EYO12" s="473"/>
      <c r="EYP12" s="473"/>
      <c r="EYQ12" s="473"/>
      <c r="EYR12" s="473"/>
      <c r="EYS12" s="473"/>
      <c r="EYT12" s="473"/>
      <c r="EYU12" s="473"/>
      <c r="EYV12" s="473"/>
      <c r="EYW12" s="473"/>
      <c r="EYX12" s="473"/>
      <c r="EYY12" s="473"/>
      <c r="EYZ12" s="473"/>
      <c r="EZA12" s="473"/>
      <c r="EZB12" s="473"/>
      <c r="EZC12" s="473"/>
      <c r="EZD12" s="473"/>
      <c r="EZE12" s="473"/>
      <c r="EZF12" s="473"/>
      <c r="EZG12" s="473"/>
      <c r="EZH12" s="473"/>
      <c r="EZI12" s="473"/>
      <c r="EZJ12" s="473"/>
      <c r="EZK12" s="473"/>
      <c r="EZL12" s="473"/>
      <c r="EZM12" s="473"/>
      <c r="EZN12" s="473"/>
      <c r="EZO12" s="473"/>
      <c r="EZP12" s="473"/>
      <c r="EZQ12" s="473"/>
      <c r="EZR12" s="473"/>
      <c r="EZS12" s="473"/>
      <c r="EZT12" s="473"/>
      <c r="EZU12" s="473"/>
      <c r="EZV12" s="473"/>
      <c r="EZW12" s="473"/>
      <c r="EZX12" s="473"/>
      <c r="EZY12" s="473"/>
      <c r="EZZ12" s="473"/>
      <c r="FAA12" s="473"/>
      <c r="FAB12" s="473"/>
      <c r="FAC12" s="473"/>
      <c r="FAD12" s="473"/>
      <c r="FAE12" s="473"/>
      <c r="FAF12" s="473"/>
      <c r="FAG12" s="473"/>
      <c r="FAH12" s="473"/>
      <c r="FAI12" s="473"/>
      <c r="FAJ12" s="473"/>
      <c r="FAK12" s="473"/>
      <c r="FAL12" s="473"/>
      <c r="FAM12" s="473"/>
      <c r="FAN12" s="473"/>
      <c r="FAO12" s="473"/>
      <c r="FAP12" s="473"/>
      <c r="FAQ12" s="473"/>
      <c r="FAR12" s="473"/>
      <c r="FAS12" s="473"/>
      <c r="FAT12" s="473"/>
      <c r="FAU12" s="473"/>
      <c r="FAV12" s="473"/>
      <c r="FAW12" s="473"/>
      <c r="FAX12" s="473"/>
      <c r="FAY12" s="473"/>
      <c r="FAZ12" s="473"/>
      <c r="FBA12" s="473"/>
      <c r="FBB12" s="473"/>
      <c r="FBC12" s="473"/>
      <c r="FBD12" s="473"/>
      <c r="FBE12" s="473"/>
      <c r="FBF12" s="473"/>
      <c r="FBG12" s="473"/>
      <c r="FBH12" s="473"/>
      <c r="FBI12" s="473"/>
      <c r="FBJ12" s="473"/>
      <c r="FBK12" s="473"/>
      <c r="FBL12" s="473"/>
      <c r="FBM12" s="473"/>
      <c r="FBN12" s="473"/>
      <c r="FBO12" s="473"/>
      <c r="FBP12" s="473"/>
      <c r="FBQ12" s="473"/>
      <c r="FBR12" s="473"/>
      <c r="FBS12" s="473"/>
      <c r="FBT12" s="473"/>
      <c r="FBU12" s="473"/>
      <c r="FBV12" s="473"/>
      <c r="FBW12" s="473"/>
      <c r="FBX12" s="473"/>
      <c r="FBY12" s="473"/>
      <c r="FBZ12" s="473"/>
      <c r="FCA12" s="473"/>
      <c r="FCB12" s="473"/>
      <c r="FCC12" s="473"/>
      <c r="FCD12" s="473"/>
      <c r="FCE12" s="473"/>
      <c r="FCF12" s="473"/>
      <c r="FCG12" s="473"/>
      <c r="FCH12" s="473"/>
      <c r="FCI12" s="473"/>
      <c r="FCJ12" s="473"/>
      <c r="FCK12" s="473"/>
      <c r="FCL12" s="473"/>
      <c r="FCM12" s="473"/>
      <c r="FCN12" s="473"/>
      <c r="FCO12" s="473"/>
      <c r="FCP12" s="473"/>
      <c r="FCQ12" s="473"/>
      <c r="FCR12" s="473"/>
      <c r="FCS12" s="473"/>
      <c r="FCT12" s="473"/>
      <c r="FCU12" s="473"/>
      <c r="FCV12" s="473"/>
      <c r="FCW12" s="473"/>
      <c r="FCX12" s="473"/>
      <c r="FCY12" s="473"/>
      <c r="FCZ12" s="473"/>
      <c r="FDA12" s="473"/>
      <c r="FDB12" s="473"/>
      <c r="FDC12" s="473"/>
      <c r="FDD12" s="473"/>
      <c r="FDE12" s="473"/>
      <c r="FDF12" s="473"/>
      <c r="FDG12" s="473"/>
      <c r="FDH12" s="473"/>
      <c r="FDI12" s="473"/>
      <c r="FDJ12" s="473"/>
      <c r="FDK12" s="473"/>
      <c r="FDL12" s="473"/>
      <c r="FDM12" s="473"/>
      <c r="FDN12" s="473"/>
      <c r="FDO12" s="473"/>
      <c r="FDP12" s="473"/>
      <c r="FDQ12" s="473"/>
      <c r="FDR12" s="473"/>
      <c r="FDS12" s="473"/>
      <c r="FDT12" s="473"/>
      <c r="FDU12" s="473"/>
      <c r="FDV12" s="473"/>
      <c r="FDW12" s="473"/>
      <c r="FDX12" s="473"/>
      <c r="FDY12" s="473"/>
      <c r="FDZ12" s="473"/>
      <c r="FEA12" s="473"/>
      <c r="FEB12" s="473"/>
      <c r="FEC12" s="473"/>
      <c r="FED12" s="473"/>
      <c r="FEE12" s="473"/>
      <c r="FEF12" s="473"/>
      <c r="FEG12" s="473"/>
      <c r="FEH12" s="473"/>
      <c r="FEI12" s="473"/>
      <c r="FEJ12" s="473"/>
      <c r="FEK12" s="473"/>
      <c r="FEL12" s="473"/>
      <c r="FEM12" s="473"/>
      <c r="FEN12" s="473"/>
      <c r="FEO12" s="473"/>
      <c r="FEP12" s="473"/>
      <c r="FEQ12" s="473"/>
      <c r="FER12" s="473"/>
      <c r="FES12" s="473"/>
      <c r="FET12" s="473"/>
      <c r="FEU12" s="473"/>
      <c r="FEV12" s="473"/>
      <c r="FEW12" s="473"/>
      <c r="FEX12" s="473"/>
      <c r="FEY12" s="473"/>
      <c r="FEZ12" s="473"/>
      <c r="FFA12" s="473"/>
      <c r="FFB12" s="473"/>
      <c r="FFC12" s="473"/>
      <c r="FFD12" s="473"/>
      <c r="FFE12" s="473"/>
      <c r="FFF12" s="473"/>
      <c r="FFG12" s="473"/>
      <c r="FFH12" s="473"/>
      <c r="FFI12" s="473"/>
      <c r="FFJ12" s="473"/>
      <c r="FFK12" s="473"/>
      <c r="FFL12" s="473"/>
      <c r="FFM12" s="473"/>
      <c r="FFN12" s="473"/>
      <c r="FFO12" s="473"/>
      <c r="FFP12" s="473"/>
      <c r="FFQ12" s="473"/>
      <c r="FFR12" s="473"/>
      <c r="FFS12" s="473"/>
      <c r="FFT12" s="473"/>
      <c r="FFU12" s="473"/>
      <c r="FFV12" s="473"/>
      <c r="FFW12" s="473"/>
      <c r="FFX12" s="473"/>
      <c r="FFY12" s="473"/>
      <c r="FFZ12" s="473"/>
      <c r="FGA12" s="473"/>
      <c r="FGB12" s="473"/>
      <c r="FGC12" s="473"/>
      <c r="FGD12" s="473"/>
      <c r="FGE12" s="473"/>
      <c r="FGF12" s="473"/>
      <c r="FGG12" s="473"/>
      <c r="FGH12" s="473"/>
      <c r="FGI12" s="473"/>
      <c r="FGJ12" s="473"/>
      <c r="FGK12" s="473"/>
      <c r="FGL12" s="473"/>
      <c r="FGM12" s="473"/>
      <c r="FGN12" s="473"/>
      <c r="FGO12" s="473"/>
      <c r="FGP12" s="473"/>
      <c r="FGQ12" s="473"/>
      <c r="FGR12" s="473"/>
      <c r="FGS12" s="473"/>
      <c r="FGT12" s="473"/>
      <c r="FGU12" s="473"/>
      <c r="FGV12" s="473"/>
      <c r="FGW12" s="473"/>
      <c r="FGX12" s="473"/>
      <c r="FGY12" s="473"/>
      <c r="FGZ12" s="473"/>
      <c r="FHA12" s="473"/>
      <c r="FHB12" s="473"/>
      <c r="FHC12" s="473"/>
      <c r="FHD12" s="473"/>
      <c r="FHE12" s="473"/>
      <c r="FHF12" s="473"/>
      <c r="FHG12" s="473"/>
      <c r="FHH12" s="473"/>
      <c r="FHI12" s="473"/>
      <c r="FHJ12" s="473"/>
      <c r="FHK12" s="473"/>
      <c r="FHL12" s="473"/>
      <c r="FHM12" s="473"/>
      <c r="FHN12" s="473"/>
      <c r="FHO12" s="473"/>
      <c r="FHP12" s="473"/>
      <c r="FHQ12" s="473"/>
      <c r="FHR12" s="473"/>
      <c r="FHS12" s="473"/>
      <c r="FHT12" s="473"/>
      <c r="FHU12" s="473"/>
      <c r="FHV12" s="473"/>
      <c r="FHW12" s="473"/>
      <c r="FHX12" s="473"/>
      <c r="FHY12" s="473"/>
      <c r="FHZ12" s="473"/>
      <c r="FIA12" s="473"/>
      <c r="FIB12" s="473"/>
      <c r="FIC12" s="473"/>
      <c r="FID12" s="473"/>
      <c r="FIE12" s="473"/>
      <c r="FIF12" s="473"/>
      <c r="FIG12" s="473"/>
      <c r="FIH12" s="473"/>
      <c r="FII12" s="473"/>
      <c r="FIJ12" s="473"/>
      <c r="FIK12" s="473"/>
      <c r="FIL12" s="473"/>
      <c r="FIM12" s="473"/>
      <c r="FIN12" s="473"/>
      <c r="FIO12" s="473"/>
      <c r="FIP12" s="473"/>
      <c r="FIQ12" s="473"/>
      <c r="FIR12" s="473"/>
      <c r="FIS12" s="473"/>
      <c r="FIT12" s="473"/>
      <c r="FIU12" s="473"/>
      <c r="FIV12" s="473"/>
      <c r="FIW12" s="473"/>
      <c r="FIX12" s="473"/>
      <c r="FIY12" s="473"/>
      <c r="FIZ12" s="473"/>
      <c r="FJA12" s="473"/>
      <c r="FJB12" s="473"/>
      <c r="FJC12" s="473"/>
      <c r="FJD12" s="473"/>
      <c r="FJE12" s="473"/>
      <c r="FJF12" s="473"/>
      <c r="FJG12" s="473"/>
      <c r="FJH12" s="473"/>
      <c r="FJI12" s="473"/>
      <c r="FJJ12" s="473"/>
      <c r="FJK12" s="473"/>
      <c r="FJL12" s="473"/>
      <c r="FJM12" s="473"/>
      <c r="FJN12" s="473"/>
      <c r="FJO12" s="473"/>
      <c r="FJP12" s="473"/>
      <c r="FJQ12" s="473"/>
      <c r="FJR12" s="473"/>
      <c r="FJS12" s="473"/>
      <c r="FJT12" s="473"/>
      <c r="FJU12" s="473"/>
      <c r="FJV12" s="473"/>
      <c r="FJW12" s="473"/>
      <c r="FJX12" s="473"/>
      <c r="FJY12" s="473"/>
      <c r="FJZ12" s="473"/>
      <c r="FKA12" s="473"/>
      <c r="FKB12" s="473"/>
      <c r="FKC12" s="473"/>
      <c r="FKD12" s="473"/>
      <c r="FKE12" s="473"/>
      <c r="FKF12" s="473"/>
      <c r="FKG12" s="473"/>
      <c r="FKH12" s="473"/>
      <c r="FKI12" s="473"/>
      <c r="FKJ12" s="473"/>
      <c r="FKK12" s="473"/>
      <c r="FKL12" s="473"/>
      <c r="FKM12" s="473"/>
      <c r="FKN12" s="473"/>
      <c r="FKO12" s="473"/>
      <c r="FKP12" s="473"/>
      <c r="FKQ12" s="473"/>
      <c r="FKR12" s="473"/>
      <c r="FKS12" s="473"/>
      <c r="FKT12" s="473"/>
      <c r="FKU12" s="473"/>
      <c r="FKV12" s="473"/>
      <c r="FKW12" s="473"/>
      <c r="FKX12" s="473"/>
      <c r="FKY12" s="473"/>
      <c r="FKZ12" s="473"/>
      <c r="FLA12" s="473"/>
      <c r="FLB12" s="473"/>
      <c r="FLC12" s="473"/>
      <c r="FLD12" s="473"/>
      <c r="FLE12" s="473"/>
      <c r="FLF12" s="473"/>
      <c r="FLG12" s="473"/>
      <c r="FLH12" s="473"/>
      <c r="FLI12" s="473"/>
      <c r="FLJ12" s="473"/>
      <c r="FLK12" s="473"/>
      <c r="FLL12" s="473"/>
      <c r="FLM12" s="473"/>
      <c r="FLN12" s="473"/>
      <c r="FLO12" s="473"/>
      <c r="FLP12" s="473"/>
      <c r="FLQ12" s="473"/>
      <c r="FLR12" s="473"/>
      <c r="FLS12" s="473"/>
      <c r="FLT12" s="473"/>
      <c r="FLU12" s="473"/>
      <c r="FLV12" s="473"/>
      <c r="FLW12" s="473"/>
      <c r="FLX12" s="473"/>
      <c r="FLY12" s="473"/>
      <c r="FLZ12" s="473"/>
      <c r="FMA12" s="473"/>
      <c r="FMB12" s="473"/>
      <c r="FMC12" s="473"/>
      <c r="FMD12" s="473"/>
      <c r="FME12" s="473"/>
      <c r="FMF12" s="473"/>
      <c r="FMG12" s="473"/>
      <c r="FMH12" s="473"/>
      <c r="FMI12" s="473"/>
      <c r="FMJ12" s="473"/>
      <c r="FMK12" s="473"/>
      <c r="FML12" s="473"/>
      <c r="FMM12" s="473"/>
      <c r="FMN12" s="473"/>
      <c r="FMO12" s="473"/>
      <c r="FMP12" s="473"/>
      <c r="FMQ12" s="473"/>
      <c r="FMR12" s="473"/>
      <c r="FMS12" s="473"/>
      <c r="FMT12" s="473"/>
      <c r="FMU12" s="473"/>
      <c r="FMV12" s="473"/>
      <c r="FMW12" s="473"/>
      <c r="FMX12" s="473"/>
      <c r="FMY12" s="473"/>
      <c r="FMZ12" s="473"/>
      <c r="FNA12" s="473"/>
      <c r="FNB12" s="473"/>
      <c r="FNC12" s="473"/>
      <c r="FND12" s="473"/>
      <c r="FNE12" s="473"/>
      <c r="FNF12" s="473"/>
      <c r="FNG12" s="473"/>
      <c r="FNH12" s="473"/>
      <c r="FNI12" s="473"/>
      <c r="FNJ12" s="473"/>
      <c r="FNK12" s="473"/>
      <c r="FNL12" s="473"/>
      <c r="FNM12" s="473"/>
      <c r="FNN12" s="473"/>
      <c r="FNO12" s="473"/>
      <c r="FNP12" s="473"/>
      <c r="FNQ12" s="473"/>
      <c r="FNR12" s="473"/>
      <c r="FNS12" s="473"/>
      <c r="FNT12" s="473"/>
      <c r="FNU12" s="473"/>
      <c r="FNV12" s="473"/>
      <c r="FNW12" s="473"/>
      <c r="FNX12" s="473"/>
      <c r="FNY12" s="473"/>
      <c r="FNZ12" s="473"/>
      <c r="FOA12" s="473"/>
      <c r="FOB12" s="473"/>
      <c r="FOC12" s="473"/>
      <c r="FOD12" s="473"/>
      <c r="FOE12" s="473"/>
      <c r="FOF12" s="473"/>
      <c r="FOG12" s="473"/>
      <c r="FOH12" s="473"/>
      <c r="FOI12" s="473"/>
      <c r="FOJ12" s="473"/>
      <c r="FOK12" s="473"/>
      <c r="FOL12" s="473"/>
      <c r="FOM12" s="473"/>
      <c r="FON12" s="473"/>
      <c r="FOO12" s="473"/>
      <c r="FOP12" s="473"/>
      <c r="FOQ12" s="473"/>
      <c r="FOR12" s="473"/>
      <c r="FOS12" s="473"/>
      <c r="FOT12" s="473"/>
      <c r="FOU12" s="473"/>
      <c r="FOV12" s="473"/>
      <c r="FOW12" s="473"/>
      <c r="FOX12" s="473"/>
      <c r="FOY12" s="473"/>
      <c r="FOZ12" s="473"/>
      <c r="FPA12" s="473"/>
      <c r="FPB12" s="473"/>
      <c r="FPC12" s="473"/>
      <c r="FPD12" s="473"/>
      <c r="FPE12" s="473"/>
      <c r="FPF12" s="473"/>
      <c r="FPG12" s="473"/>
      <c r="FPH12" s="473"/>
      <c r="FPI12" s="473"/>
      <c r="FPJ12" s="473"/>
      <c r="FPK12" s="473"/>
      <c r="FPL12" s="473"/>
      <c r="FPM12" s="473"/>
      <c r="FPN12" s="473"/>
      <c r="FPO12" s="473"/>
      <c r="FPP12" s="473"/>
      <c r="FPQ12" s="473"/>
      <c r="FPR12" s="473"/>
      <c r="FPS12" s="473"/>
      <c r="FPT12" s="473"/>
      <c r="FPU12" s="473"/>
      <c r="FPV12" s="473"/>
      <c r="FPW12" s="473"/>
      <c r="FPX12" s="473"/>
      <c r="FPY12" s="473"/>
      <c r="FPZ12" s="473"/>
      <c r="FQA12" s="473"/>
      <c r="FQB12" s="473"/>
      <c r="FQC12" s="473"/>
      <c r="FQD12" s="473"/>
      <c r="FQE12" s="473"/>
      <c r="FQF12" s="473"/>
      <c r="FQG12" s="473"/>
      <c r="FQH12" s="473"/>
      <c r="FQI12" s="473"/>
      <c r="FQJ12" s="473"/>
      <c r="FQK12" s="473"/>
      <c r="FQL12" s="473"/>
      <c r="FQM12" s="473"/>
      <c r="FQN12" s="473"/>
      <c r="FQO12" s="473"/>
      <c r="FQP12" s="473"/>
      <c r="FQQ12" s="473"/>
      <c r="FQR12" s="473"/>
      <c r="FQS12" s="473"/>
      <c r="FQT12" s="473"/>
      <c r="FQU12" s="473"/>
      <c r="FQV12" s="473"/>
      <c r="FQW12" s="473"/>
      <c r="FQX12" s="473"/>
      <c r="FQY12" s="473"/>
      <c r="FQZ12" s="473"/>
      <c r="FRA12" s="473"/>
      <c r="FRB12" s="473"/>
      <c r="FRC12" s="473"/>
      <c r="FRD12" s="473"/>
      <c r="FRE12" s="473"/>
      <c r="FRF12" s="473"/>
      <c r="FRG12" s="473"/>
      <c r="FRH12" s="473"/>
      <c r="FRI12" s="473"/>
      <c r="FRJ12" s="473"/>
      <c r="FRK12" s="473"/>
      <c r="FRL12" s="473"/>
      <c r="FRM12" s="473"/>
      <c r="FRN12" s="473"/>
      <c r="FRO12" s="473"/>
      <c r="FRP12" s="473"/>
      <c r="FRQ12" s="473"/>
      <c r="FRR12" s="473"/>
      <c r="FRS12" s="473"/>
      <c r="FRT12" s="473"/>
      <c r="FRU12" s="473"/>
      <c r="FRV12" s="473"/>
      <c r="FRW12" s="473"/>
      <c r="FRX12" s="473"/>
      <c r="FRY12" s="473"/>
      <c r="FRZ12" s="473"/>
      <c r="FSA12" s="473"/>
      <c r="FSB12" s="473"/>
      <c r="FSC12" s="473"/>
      <c r="FSD12" s="473"/>
      <c r="FSE12" s="473"/>
      <c r="FSF12" s="473"/>
      <c r="FSG12" s="473"/>
      <c r="FSH12" s="473"/>
      <c r="FSI12" s="473"/>
      <c r="FSJ12" s="473"/>
      <c r="FSK12" s="473"/>
      <c r="FSL12" s="473"/>
      <c r="FSM12" s="473"/>
      <c r="FSN12" s="473"/>
      <c r="FSO12" s="473"/>
      <c r="FSP12" s="473"/>
      <c r="FSQ12" s="473"/>
      <c r="FSR12" s="473"/>
      <c r="FSS12" s="473"/>
      <c r="FST12" s="473"/>
      <c r="FSU12" s="473"/>
      <c r="FSV12" s="473"/>
      <c r="FSW12" s="473"/>
      <c r="FSX12" s="473"/>
      <c r="FSY12" s="473"/>
      <c r="FSZ12" s="473"/>
      <c r="FTA12" s="473"/>
      <c r="FTB12" s="473"/>
      <c r="FTC12" s="473"/>
      <c r="FTD12" s="473"/>
      <c r="FTE12" s="473"/>
      <c r="FTF12" s="473"/>
      <c r="FTG12" s="473"/>
      <c r="FTH12" s="473"/>
      <c r="FTI12" s="473"/>
      <c r="FTJ12" s="473"/>
      <c r="FTK12" s="473"/>
      <c r="FTL12" s="473"/>
      <c r="FTM12" s="473"/>
      <c r="FTN12" s="473"/>
      <c r="FTO12" s="473"/>
      <c r="FTP12" s="473"/>
      <c r="FTQ12" s="473"/>
      <c r="FTR12" s="473"/>
      <c r="FTS12" s="473"/>
      <c r="FTT12" s="473"/>
      <c r="FTU12" s="473"/>
      <c r="FTV12" s="473"/>
      <c r="FTW12" s="473"/>
      <c r="FTX12" s="473"/>
      <c r="FTY12" s="473"/>
      <c r="FTZ12" s="473"/>
      <c r="FUA12" s="473"/>
      <c r="FUB12" s="473"/>
      <c r="FUC12" s="473"/>
      <c r="FUD12" s="473"/>
      <c r="FUE12" s="473"/>
      <c r="FUF12" s="473"/>
      <c r="FUG12" s="473"/>
      <c r="FUH12" s="473"/>
      <c r="FUI12" s="473"/>
      <c r="FUJ12" s="473"/>
      <c r="FUK12" s="473"/>
      <c r="FUL12" s="473"/>
      <c r="FUM12" s="473"/>
      <c r="FUN12" s="473"/>
      <c r="FUO12" s="473"/>
      <c r="FUP12" s="473"/>
      <c r="FUQ12" s="473"/>
      <c r="FUR12" s="473"/>
      <c r="FUS12" s="473"/>
      <c r="FUT12" s="473"/>
      <c r="FUU12" s="473"/>
      <c r="FUV12" s="473"/>
      <c r="FUW12" s="473"/>
      <c r="FUX12" s="473"/>
      <c r="FUY12" s="473"/>
      <c r="FUZ12" s="473"/>
      <c r="FVA12" s="473"/>
      <c r="FVB12" s="473"/>
      <c r="FVC12" s="473"/>
      <c r="FVD12" s="473"/>
      <c r="FVE12" s="473"/>
      <c r="FVF12" s="473"/>
      <c r="FVG12" s="473"/>
      <c r="FVH12" s="473"/>
      <c r="FVI12" s="473"/>
      <c r="FVJ12" s="473"/>
      <c r="FVK12" s="473"/>
      <c r="FVL12" s="473"/>
      <c r="FVM12" s="473"/>
      <c r="FVN12" s="473"/>
      <c r="FVO12" s="473"/>
      <c r="FVP12" s="473"/>
      <c r="FVQ12" s="473"/>
      <c r="FVR12" s="473"/>
      <c r="FVS12" s="473"/>
      <c r="FVT12" s="473"/>
      <c r="FVU12" s="473"/>
      <c r="FVV12" s="473"/>
      <c r="FVW12" s="473"/>
      <c r="FVX12" s="473"/>
      <c r="FVY12" s="473"/>
      <c r="FVZ12" s="473"/>
      <c r="FWA12" s="473"/>
      <c r="FWB12" s="473"/>
      <c r="FWC12" s="473"/>
      <c r="FWD12" s="473"/>
      <c r="FWE12" s="473"/>
      <c r="FWF12" s="473"/>
      <c r="FWG12" s="473"/>
      <c r="FWH12" s="473"/>
      <c r="FWI12" s="473"/>
      <c r="FWJ12" s="473"/>
      <c r="FWK12" s="473"/>
      <c r="FWL12" s="473"/>
      <c r="FWM12" s="473"/>
      <c r="FWN12" s="473"/>
      <c r="FWO12" s="473"/>
      <c r="FWP12" s="473"/>
      <c r="FWQ12" s="473"/>
      <c r="FWR12" s="473"/>
      <c r="FWS12" s="473"/>
      <c r="FWT12" s="473"/>
      <c r="FWU12" s="473"/>
      <c r="FWV12" s="473"/>
      <c r="FWW12" s="473"/>
      <c r="FWX12" s="473"/>
      <c r="FWY12" s="473"/>
      <c r="FWZ12" s="473"/>
      <c r="FXA12" s="473"/>
      <c r="FXB12" s="473"/>
      <c r="FXC12" s="473"/>
      <c r="FXD12" s="473"/>
      <c r="FXE12" s="473"/>
      <c r="FXF12" s="473"/>
      <c r="FXG12" s="473"/>
      <c r="FXH12" s="473"/>
      <c r="FXI12" s="473"/>
      <c r="FXJ12" s="473"/>
      <c r="FXK12" s="473"/>
      <c r="FXL12" s="473"/>
      <c r="FXM12" s="473"/>
      <c r="FXN12" s="473"/>
      <c r="FXO12" s="473"/>
      <c r="FXP12" s="473"/>
      <c r="FXQ12" s="473"/>
      <c r="FXR12" s="473"/>
      <c r="FXS12" s="473"/>
      <c r="FXT12" s="473"/>
      <c r="FXU12" s="473"/>
      <c r="FXV12" s="473"/>
      <c r="FXW12" s="473"/>
      <c r="FXX12" s="473"/>
      <c r="FXY12" s="473"/>
      <c r="FXZ12" s="473"/>
      <c r="FYA12" s="473"/>
      <c r="FYB12" s="473"/>
      <c r="FYC12" s="473"/>
      <c r="FYD12" s="473"/>
      <c r="FYE12" s="473"/>
      <c r="FYF12" s="473"/>
      <c r="FYG12" s="473"/>
      <c r="FYH12" s="473"/>
      <c r="FYI12" s="473"/>
      <c r="FYJ12" s="473"/>
      <c r="FYK12" s="473"/>
      <c r="FYL12" s="473"/>
      <c r="FYM12" s="473"/>
      <c r="FYN12" s="473"/>
      <c r="FYO12" s="473"/>
      <c r="FYP12" s="473"/>
      <c r="FYQ12" s="473"/>
      <c r="FYR12" s="473"/>
      <c r="FYS12" s="473"/>
      <c r="FYT12" s="473"/>
      <c r="FYU12" s="473"/>
      <c r="FYV12" s="473"/>
      <c r="FYW12" s="473"/>
      <c r="FYX12" s="473"/>
      <c r="FYY12" s="473"/>
      <c r="FYZ12" s="473"/>
      <c r="FZA12" s="473"/>
      <c r="FZB12" s="473"/>
      <c r="FZC12" s="473"/>
      <c r="FZD12" s="473"/>
      <c r="FZE12" s="473"/>
      <c r="FZF12" s="473"/>
      <c r="FZG12" s="473"/>
      <c r="FZH12" s="473"/>
      <c r="FZI12" s="473"/>
      <c r="FZJ12" s="473"/>
      <c r="FZK12" s="473"/>
      <c r="FZL12" s="473"/>
      <c r="FZM12" s="473"/>
      <c r="FZN12" s="473"/>
      <c r="FZO12" s="473"/>
      <c r="FZP12" s="473"/>
      <c r="FZQ12" s="473"/>
      <c r="FZR12" s="473"/>
      <c r="FZS12" s="473"/>
      <c r="FZT12" s="473"/>
      <c r="FZU12" s="473"/>
      <c r="FZV12" s="473"/>
      <c r="FZW12" s="473"/>
      <c r="FZX12" s="473"/>
      <c r="FZY12" s="473"/>
      <c r="FZZ12" s="473"/>
      <c r="GAA12" s="473"/>
      <c r="GAB12" s="473"/>
      <c r="GAC12" s="473"/>
      <c r="GAD12" s="473"/>
      <c r="GAE12" s="473"/>
      <c r="GAF12" s="473"/>
      <c r="GAG12" s="473"/>
      <c r="GAH12" s="473"/>
      <c r="GAI12" s="473"/>
      <c r="GAJ12" s="473"/>
      <c r="GAK12" s="473"/>
      <c r="GAL12" s="473"/>
      <c r="GAM12" s="473"/>
      <c r="GAN12" s="473"/>
      <c r="GAO12" s="473"/>
      <c r="GAP12" s="473"/>
      <c r="GAQ12" s="473"/>
      <c r="GAR12" s="473"/>
      <c r="GAS12" s="473"/>
      <c r="GAT12" s="473"/>
      <c r="GAU12" s="473"/>
      <c r="GAV12" s="473"/>
      <c r="GAW12" s="473"/>
      <c r="GAX12" s="473"/>
      <c r="GAY12" s="473"/>
      <c r="GAZ12" s="473"/>
      <c r="GBA12" s="473"/>
      <c r="GBB12" s="473"/>
      <c r="GBC12" s="473"/>
      <c r="GBD12" s="473"/>
      <c r="GBE12" s="473"/>
      <c r="GBF12" s="473"/>
      <c r="GBG12" s="473"/>
      <c r="GBH12" s="473"/>
      <c r="GBI12" s="473"/>
      <c r="GBJ12" s="473"/>
      <c r="GBK12" s="473"/>
      <c r="GBL12" s="473"/>
      <c r="GBM12" s="473"/>
      <c r="GBN12" s="473"/>
      <c r="GBO12" s="473"/>
      <c r="GBP12" s="473"/>
      <c r="GBQ12" s="473"/>
      <c r="GBR12" s="473"/>
      <c r="GBS12" s="473"/>
      <c r="GBT12" s="473"/>
      <c r="GBU12" s="473"/>
      <c r="GBV12" s="473"/>
      <c r="GBW12" s="473"/>
      <c r="GBX12" s="473"/>
      <c r="GBY12" s="473"/>
      <c r="GBZ12" s="473"/>
      <c r="GCA12" s="473"/>
      <c r="GCB12" s="473"/>
      <c r="GCC12" s="473"/>
      <c r="GCD12" s="473"/>
      <c r="GCE12" s="473"/>
      <c r="GCF12" s="473"/>
      <c r="GCG12" s="473"/>
      <c r="GCH12" s="473"/>
      <c r="GCI12" s="473"/>
      <c r="GCJ12" s="473"/>
      <c r="GCK12" s="473"/>
      <c r="GCL12" s="473"/>
      <c r="GCM12" s="473"/>
      <c r="GCN12" s="473"/>
      <c r="GCO12" s="473"/>
      <c r="GCP12" s="473"/>
      <c r="GCQ12" s="473"/>
      <c r="GCR12" s="473"/>
      <c r="GCS12" s="473"/>
      <c r="GCT12" s="473"/>
      <c r="GCU12" s="473"/>
      <c r="GCV12" s="473"/>
      <c r="GCW12" s="473"/>
      <c r="GCX12" s="473"/>
      <c r="GCY12" s="473"/>
      <c r="GCZ12" s="473"/>
      <c r="GDA12" s="473"/>
      <c r="GDB12" s="473"/>
      <c r="GDC12" s="473"/>
      <c r="GDD12" s="473"/>
      <c r="GDE12" s="473"/>
      <c r="GDF12" s="473"/>
      <c r="GDG12" s="473"/>
      <c r="GDH12" s="473"/>
      <c r="GDI12" s="473"/>
      <c r="GDJ12" s="473"/>
      <c r="GDK12" s="473"/>
      <c r="GDL12" s="473"/>
      <c r="GDM12" s="473"/>
      <c r="GDN12" s="473"/>
      <c r="GDO12" s="473"/>
      <c r="GDP12" s="473"/>
      <c r="GDQ12" s="473"/>
      <c r="GDR12" s="473"/>
      <c r="GDS12" s="473"/>
      <c r="GDT12" s="473"/>
      <c r="GDU12" s="473"/>
      <c r="GDV12" s="473"/>
      <c r="GDW12" s="473"/>
      <c r="GDX12" s="473"/>
      <c r="GDY12" s="473"/>
      <c r="GDZ12" s="473"/>
      <c r="GEA12" s="473"/>
      <c r="GEB12" s="473"/>
      <c r="GEC12" s="473"/>
      <c r="GED12" s="473"/>
      <c r="GEE12" s="473"/>
      <c r="GEF12" s="473"/>
      <c r="GEG12" s="473"/>
      <c r="GEH12" s="473"/>
      <c r="GEI12" s="473"/>
      <c r="GEJ12" s="473"/>
      <c r="GEK12" s="473"/>
      <c r="GEL12" s="473"/>
      <c r="GEM12" s="473"/>
      <c r="GEN12" s="473"/>
      <c r="GEO12" s="473"/>
      <c r="GEP12" s="473"/>
      <c r="GEQ12" s="473"/>
      <c r="GER12" s="473"/>
      <c r="GES12" s="473"/>
      <c r="GET12" s="473"/>
      <c r="GEU12" s="473"/>
      <c r="GEV12" s="473"/>
      <c r="GEW12" s="473"/>
      <c r="GEX12" s="473"/>
      <c r="GEY12" s="473"/>
      <c r="GEZ12" s="473"/>
      <c r="GFA12" s="473"/>
      <c r="GFB12" s="473"/>
      <c r="GFC12" s="473"/>
      <c r="GFD12" s="473"/>
      <c r="GFE12" s="473"/>
      <c r="GFF12" s="473"/>
      <c r="GFG12" s="473"/>
      <c r="GFH12" s="473"/>
      <c r="GFI12" s="473"/>
      <c r="GFJ12" s="473"/>
      <c r="GFK12" s="473"/>
      <c r="GFL12" s="473"/>
      <c r="GFM12" s="473"/>
      <c r="GFN12" s="473"/>
      <c r="GFO12" s="473"/>
      <c r="GFP12" s="473"/>
      <c r="GFQ12" s="473"/>
      <c r="GFR12" s="473"/>
      <c r="GFS12" s="473"/>
      <c r="GFT12" s="473"/>
      <c r="GFU12" s="473"/>
      <c r="GFV12" s="473"/>
      <c r="GFW12" s="473"/>
      <c r="GFX12" s="473"/>
      <c r="GFY12" s="473"/>
      <c r="GFZ12" s="473"/>
      <c r="GGA12" s="473"/>
      <c r="GGB12" s="473"/>
      <c r="GGC12" s="473"/>
      <c r="GGD12" s="473"/>
      <c r="GGE12" s="473"/>
      <c r="GGF12" s="473"/>
      <c r="GGG12" s="473"/>
      <c r="GGH12" s="473"/>
      <c r="GGI12" s="473"/>
      <c r="GGJ12" s="473"/>
      <c r="GGK12" s="473"/>
      <c r="GGL12" s="473"/>
      <c r="GGM12" s="473"/>
      <c r="GGN12" s="473"/>
      <c r="GGO12" s="473"/>
      <c r="GGP12" s="473"/>
      <c r="GGQ12" s="473"/>
      <c r="GGR12" s="473"/>
      <c r="GGS12" s="473"/>
      <c r="GGT12" s="473"/>
      <c r="GGU12" s="473"/>
      <c r="GGV12" s="473"/>
      <c r="GGW12" s="473"/>
      <c r="GGX12" s="473"/>
      <c r="GGY12" s="473"/>
      <c r="GGZ12" s="473"/>
      <c r="GHA12" s="473"/>
      <c r="GHB12" s="473"/>
      <c r="GHC12" s="473"/>
      <c r="GHD12" s="473"/>
      <c r="GHE12" s="473"/>
      <c r="GHF12" s="473"/>
      <c r="GHG12" s="473"/>
      <c r="GHH12" s="473"/>
      <c r="GHI12" s="473"/>
      <c r="GHJ12" s="473"/>
      <c r="GHK12" s="473"/>
      <c r="GHL12" s="473"/>
      <c r="GHM12" s="473"/>
      <c r="GHN12" s="473"/>
      <c r="GHO12" s="473"/>
      <c r="GHP12" s="473"/>
      <c r="GHQ12" s="473"/>
      <c r="GHR12" s="473"/>
      <c r="GHS12" s="473"/>
      <c r="GHT12" s="473"/>
      <c r="GHU12" s="473"/>
      <c r="GHV12" s="473"/>
      <c r="GHW12" s="473"/>
      <c r="GHX12" s="473"/>
      <c r="GHY12" s="473"/>
      <c r="GHZ12" s="473"/>
      <c r="GIA12" s="473"/>
      <c r="GIB12" s="473"/>
      <c r="GIC12" s="473"/>
      <c r="GID12" s="473"/>
      <c r="GIE12" s="473"/>
      <c r="GIF12" s="473"/>
      <c r="GIG12" s="473"/>
      <c r="GIH12" s="473"/>
      <c r="GII12" s="473"/>
      <c r="GIJ12" s="473"/>
      <c r="GIK12" s="473"/>
      <c r="GIL12" s="473"/>
      <c r="GIM12" s="473"/>
      <c r="GIN12" s="473"/>
      <c r="GIO12" s="473"/>
      <c r="GIP12" s="473"/>
      <c r="GIQ12" s="473"/>
      <c r="GIR12" s="473"/>
      <c r="GIS12" s="473"/>
      <c r="GIT12" s="473"/>
      <c r="GIU12" s="473"/>
      <c r="GIV12" s="473"/>
      <c r="GIW12" s="473"/>
      <c r="GIX12" s="473"/>
      <c r="GIY12" s="473"/>
      <c r="GIZ12" s="473"/>
      <c r="GJA12" s="473"/>
      <c r="GJB12" s="473"/>
      <c r="GJC12" s="473"/>
      <c r="GJD12" s="473"/>
      <c r="GJE12" s="473"/>
      <c r="GJF12" s="473"/>
      <c r="GJG12" s="473"/>
      <c r="GJH12" s="473"/>
      <c r="GJI12" s="473"/>
      <c r="GJJ12" s="473"/>
      <c r="GJK12" s="473"/>
      <c r="GJL12" s="473"/>
      <c r="GJM12" s="473"/>
      <c r="GJN12" s="473"/>
      <c r="GJO12" s="473"/>
      <c r="GJP12" s="473"/>
      <c r="GJQ12" s="473"/>
      <c r="GJR12" s="473"/>
      <c r="GJS12" s="473"/>
      <c r="GJT12" s="473"/>
      <c r="GJU12" s="473"/>
      <c r="GJV12" s="473"/>
      <c r="GJW12" s="473"/>
      <c r="GJX12" s="473"/>
      <c r="GJY12" s="473"/>
      <c r="GJZ12" s="473"/>
      <c r="GKA12" s="473"/>
      <c r="GKB12" s="473"/>
      <c r="GKC12" s="473"/>
      <c r="GKD12" s="473"/>
      <c r="GKE12" s="473"/>
      <c r="GKF12" s="473"/>
      <c r="GKG12" s="473"/>
      <c r="GKH12" s="473"/>
      <c r="GKI12" s="473"/>
      <c r="GKJ12" s="473"/>
      <c r="GKK12" s="473"/>
      <c r="GKL12" s="473"/>
      <c r="GKM12" s="473"/>
      <c r="GKN12" s="473"/>
      <c r="GKO12" s="473"/>
      <c r="GKP12" s="473"/>
      <c r="GKQ12" s="473"/>
      <c r="GKR12" s="473"/>
      <c r="GKS12" s="473"/>
      <c r="GKT12" s="473"/>
      <c r="GKU12" s="473"/>
      <c r="GKV12" s="473"/>
      <c r="GKW12" s="473"/>
      <c r="GKX12" s="473"/>
      <c r="GKY12" s="473"/>
      <c r="GKZ12" s="473"/>
      <c r="GLA12" s="473"/>
      <c r="GLB12" s="473"/>
      <c r="GLC12" s="473"/>
      <c r="GLD12" s="473"/>
      <c r="GLE12" s="473"/>
      <c r="GLF12" s="473"/>
      <c r="GLG12" s="473"/>
      <c r="GLH12" s="473"/>
      <c r="GLI12" s="473"/>
      <c r="GLJ12" s="473"/>
      <c r="GLK12" s="473"/>
      <c r="GLL12" s="473"/>
      <c r="GLM12" s="473"/>
      <c r="GLN12" s="473"/>
      <c r="GLO12" s="473"/>
      <c r="GLP12" s="473"/>
      <c r="GLQ12" s="473"/>
      <c r="GLR12" s="473"/>
      <c r="GLS12" s="473"/>
      <c r="GLT12" s="473"/>
      <c r="GLU12" s="473"/>
      <c r="GLV12" s="473"/>
      <c r="GLW12" s="473"/>
      <c r="GLX12" s="473"/>
      <c r="GLY12" s="473"/>
      <c r="GLZ12" s="473"/>
      <c r="GMA12" s="473"/>
      <c r="GMB12" s="473"/>
      <c r="GMC12" s="473"/>
      <c r="GMD12" s="473"/>
      <c r="GME12" s="473"/>
      <c r="GMF12" s="473"/>
      <c r="GMG12" s="473"/>
      <c r="GMH12" s="473"/>
      <c r="GMI12" s="473"/>
      <c r="GMJ12" s="473"/>
      <c r="GMK12" s="473"/>
      <c r="GML12" s="473"/>
      <c r="GMM12" s="473"/>
      <c r="GMN12" s="473"/>
      <c r="GMO12" s="473"/>
      <c r="GMP12" s="473"/>
      <c r="GMQ12" s="473"/>
      <c r="GMR12" s="473"/>
      <c r="GMS12" s="473"/>
      <c r="GMT12" s="473"/>
      <c r="GMU12" s="473"/>
      <c r="GMV12" s="473"/>
      <c r="GMW12" s="473"/>
      <c r="GMX12" s="473"/>
      <c r="GMY12" s="473"/>
      <c r="GMZ12" s="473"/>
      <c r="GNA12" s="473"/>
      <c r="GNB12" s="473"/>
      <c r="GNC12" s="473"/>
      <c r="GND12" s="473"/>
      <c r="GNE12" s="473"/>
      <c r="GNF12" s="473"/>
      <c r="GNG12" s="473"/>
      <c r="GNH12" s="473"/>
      <c r="GNI12" s="473"/>
      <c r="GNJ12" s="473"/>
      <c r="GNK12" s="473"/>
      <c r="GNL12" s="473"/>
      <c r="GNM12" s="473"/>
      <c r="GNN12" s="473"/>
      <c r="GNO12" s="473"/>
      <c r="GNP12" s="473"/>
      <c r="GNQ12" s="473"/>
      <c r="GNR12" s="473"/>
      <c r="GNS12" s="473"/>
      <c r="GNT12" s="473"/>
      <c r="GNU12" s="473"/>
      <c r="GNV12" s="473"/>
      <c r="GNW12" s="473"/>
      <c r="GNX12" s="473"/>
      <c r="GNY12" s="473"/>
      <c r="GNZ12" s="473"/>
      <c r="GOA12" s="473"/>
      <c r="GOB12" s="473"/>
      <c r="GOC12" s="473"/>
      <c r="GOD12" s="473"/>
      <c r="GOE12" s="473"/>
      <c r="GOF12" s="473"/>
      <c r="GOG12" s="473"/>
      <c r="GOH12" s="473"/>
      <c r="GOI12" s="473"/>
      <c r="GOJ12" s="473"/>
      <c r="GOK12" s="473"/>
      <c r="GOL12" s="473"/>
      <c r="GOM12" s="473"/>
      <c r="GON12" s="473"/>
      <c r="GOO12" s="473"/>
      <c r="GOP12" s="473"/>
      <c r="GOQ12" s="473"/>
      <c r="GOR12" s="473"/>
      <c r="GOS12" s="473"/>
      <c r="GOT12" s="473"/>
      <c r="GOU12" s="473"/>
      <c r="GOV12" s="473"/>
      <c r="GOW12" s="473"/>
      <c r="GOX12" s="473"/>
      <c r="GOY12" s="473"/>
      <c r="GOZ12" s="473"/>
      <c r="GPA12" s="473"/>
      <c r="GPB12" s="473"/>
      <c r="GPC12" s="473"/>
      <c r="GPD12" s="473"/>
      <c r="GPE12" s="473"/>
      <c r="GPF12" s="473"/>
      <c r="GPG12" s="473"/>
      <c r="GPH12" s="473"/>
      <c r="GPI12" s="473"/>
      <c r="GPJ12" s="473"/>
      <c r="GPK12" s="473"/>
      <c r="GPL12" s="473"/>
      <c r="GPM12" s="473"/>
      <c r="GPN12" s="473"/>
      <c r="GPO12" s="473"/>
      <c r="GPP12" s="473"/>
      <c r="GPQ12" s="473"/>
      <c r="GPR12" s="473"/>
      <c r="GPS12" s="473"/>
      <c r="GPT12" s="473"/>
      <c r="GPU12" s="473"/>
      <c r="GPV12" s="473"/>
      <c r="GPW12" s="473"/>
      <c r="GPX12" s="473"/>
      <c r="GPY12" s="473"/>
      <c r="GPZ12" s="473"/>
      <c r="GQA12" s="473"/>
      <c r="GQB12" s="473"/>
      <c r="GQC12" s="473"/>
      <c r="GQD12" s="473"/>
      <c r="GQE12" s="473"/>
      <c r="GQF12" s="473"/>
      <c r="GQG12" s="473"/>
      <c r="GQH12" s="473"/>
      <c r="GQI12" s="473"/>
      <c r="GQJ12" s="473"/>
      <c r="GQK12" s="473"/>
      <c r="GQL12" s="473"/>
      <c r="GQM12" s="473"/>
      <c r="GQN12" s="473"/>
      <c r="GQO12" s="473"/>
      <c r="GQP12" s="473"/>
      <c r="GQQ12" s="473"/>
      <c r="GQR12" s="473"/>
      <c r="GQS12" s="473"/>
      <c r="GQT12" s="473"/>
      <c r="GQU12" s="473"/>
      <c r="GQV12" s="473"/>
      <c r="GQW12" s="473"/>
      <c r="GQX12" s="473"/>
      <c r="GQY12" s="473"/>
      <c r="GQZ12" s="473"/>
      <c r="GRA12" s="473"/>
      <c r="GRB12" s="473"/>
      <c r="GRC12" s="473"/>
      <c r="GRD12" s="473"/>
      <c r="GRE12" s="473"/>
      <c r="GRF12" s="473"/>
      <c r="GRG12" s="473"/>
      <c r="GRH12" s="473"/>
      <c r="GRI12" s="473"/>
      <c r="GRJ12" s="473"/>
      <c r="GRK12" s="473"/>
      <c r="GRL12" s="473"/>
      <c r="GRM12" s="473"/>
      <c r="GRN12" s="473"/>
      <c r="GRO12" s="473"/>
      <c r="GRP12" s="473"/>
      <c r="GRQ12" s="473"/>
      <c r="GRR12" s="473"/>
      <c r="GRS12" s="473"/>
      <c r="GRT12" s="473"/>
      <c r="GRU12" s="473"/>
      <c r="GRV12" s="473"/>
      <c r="GRW12" s="473"/>
      <c r="GRX12" s="473"/>
      <c r="GRY12" s="473"/>
      <c r="GRZ12" s="473"/>
      <c r="GSA12" s="473"/>
      <c r="GSB12" s="473"/>
      <c r="GSC12" s="473"/>
      <c r="GSD12" s="473"/>
      <c r="GSE12" s="473"/>
      <c r="GSF12" s="473"/>
      <c r="GSG12" s="473"/>
      <c r="GSH12" s="473"/>
      <c r="GSI12" s="473"/>
      <c r="GSJ12" s="473"/>
      <c r="GSK12" s="473"/>
      <c r="GSL12" s="473"/>
      <c r="GSM12" s="473"/>
      <c r="GSN12" s="473"/>
      <c r="GSO12" s="473"/>
      <c r="GSP12" s="473"/>
      <c r="GSQ12" s="473"/>
      <c r="GSR12" s="473"/>
      <c r="GSS12" s="473"/>
      <c r="GST12" s="473"/>
      <c r="GSU12" s="473"/>
      <c r="GSV12" s="473"/>
      <c r="GSW12" s="473"/>
      <c r="GSX12" s="473"/>
      <c r="GSY12" s="473"/>
      <c r="GSZ12" s="473"/>
      <c r="GTA12" s="473"/>
      <c r="GTB12" s="473"/>
      <c r="GTC12" s="473"/>
      <c r="GTD12" s="473"/>
      <c r="GTE12" s="473"/>
      <c r="GTF12" s="473"/>
      <c r="GTG12" s="473"/>
      <c r="GTH12" s="473"/>
      <c r="GTI12" s="473"/>
      <c r="GTJ12" s="473"/>
      <c r="GTK12" s="473"/>
      <c r="GTL12" s="473"/>
      <c r="GTM12" s="473"/>
      <c r="GTN12" s="473"/>
      <c r="GTO12" s="473"/>
      <c r="GTP12" s="473"/>
      <c r="GTQ12" s="473"/>
      <c r="GTR12" s="473"/>
      <c r="GTS12" s="473"/>
      <c r="GTT12" s="473"/>
      <c r="GTU12" s="473"/>
      <c r="GTV12" s="473"/>
      <c r="GTW12" s="473"/>
      <c r="GTX12" s="473"/>
      <c r="GTY12" s="473"/>
      <c r="GTZ12" s="473"/>
      <c r="GUA12" s="473"/>
      <c r="GUB12" s="473"/>
      <c r="GUC12" s="473"/>
      <c r="GUD12" s="473"/>
      <c r="GUE12" s="473"/>
      <c r="GUF12" s="473"/>
      <c r="GUG12" s="473"/>
      <c r="GUH12" s="473"/>
      <c r="GUI12" s="473"/>
      <c r="GUJ12" s="473"/>
      <c r="GUK12" s="473"/>
      <c r="GUL12" s="473"/>
      <c r="GUM12" s="473"/>
      <c r="GUN12" s="473"/>
      <c r="GUO12" s="473"/>
      <c r="GUP12" s="473"/>
      <c r="GUQ12" s="473"/>
      <c r="GUR12" s="473"/>
      <c r="GUS12" s="473"/>
      <c r="GUT12" s="473"/>
      <c r="GUU12" s="473"/>
      <c r="GUV12" s="473"/>
      <c r="GUW12" s="473"/>
      <c r="GUX12" s="473"/>
      <c r="GUY12" s="473"/>
      <c r="GUZ12" s="473"/>
      <c r="GVA12" s="473"/>
      <c r="GVB12" s="473"/>
      <c r="GVC12" s="473"/>
      <c r="GVD12" s="473"/>
      <c r="GVE12" s="473"/>
      <c r="GVF12" s="473"/>
      <c r="GVG12" s="473"/>
      <c r="GVH12" s="473"/>
      <c r="GVI12" s="473"/>
      <c r="GVJ12" s="473"/>
      <c r="GVK12" s="473"/>
      <c r="GVL12" s="473"/>
      <c r="GVM12" s="473"/>
      <c r="GVN12" s="473"/>
      <c r="GVO12" s="473"/>
      <c r="GVP12" s="473"/>
      <c r="GVQ12" s="473"/>
      <c r="GVR12" s="473"/>
      <c r="GVS12" s="473"/>
      <c r="GVT12" s="473"/>
      <c r="GVU12" s="473"/>
      <c r="GVV12" s="473"/>
      <c r="GVW12" s="473"/>
      <c r="GVX12" s="473"/>
      <c r="GVY12" s="473"/>
      <c r="GVZ12" s="473"/>
      <c r="GWA12" s="473"/>
      <c r="GWB12" s="473"/>
      <c r="GWC12" s="473"/>
      <c r="GWD12" s="473"/>
      <c r="GWE12" s="473"/>
      <c r="GWF12" s="473"/>
      <c r="GWG12" s="473"/>
      <c r="GWH12" s="473"/>
      <c r="GWI12" s="473"/>
      <c r="GWJ12" s="473"/>
      <c r="GWK12" s="473"/>
      <c r="GWL12" s="473"/>
      <c r="GWM12" s="473"/>
      <c r="GWN12" s="473"/>
      <c r="GWO12" s="473"/>
      <c r="GWP12" s="473"/>
      <c r="GWQ12" s="473"/>
      <c r="GWR12" s="473"/>
      <c r="GWS12" s="473"/>
      <c r="GWT12" s="473"/>
      <c r="GWU12" s="473"/>
      <c r="GWV12" s="473"/>
      <c r="GWW12" s="473"/>
      <c r="GWX12" s="473"/>
      <c r="GWY12" s="473"/>
      <c r="GWZ12" s="473"/>
      <c r="GXA12" s="473"/>
      <c r="GXB12" s="473"/>
      <c r="GXC12" s="473"/>
      <c r="GXD12" s="473"/>
      <c r="GXE12" s="473"/>
      <c r="GXF12" s="473"/>
      <c r="GXG12" s="473"/>
      <c r="GXH12" s="473"/>
      <c r="GXI12" s="473"/>
      <c r="GXJ12" s="473"/>
      <c r="GXK12" s="473"/>
      <c r="GXL12" s="473"/>
      <c r="GXM12" s="473"/>
      <c r="GXN12" s="473"/>
      <c r="GXO12" s="473"/>
      <c r="GXP12" s="473"/>
      <c r="GXQ12" s="473"/>
      <c r="GXR12" s="473"/>
      <c r="GXS12" s="473"/>
      <c r="GXT12" s="473"/>
      <c r="GXU12" s="473"/>
      <c r="GXV12" s="473"/>
      <c r="GXW12" s="473"/>
      <c r="GXX12" s="473"/>
      <c r="GXY12" s="473"/>
      <c r="GXZ12" s="473"/>
      <c r="GYA12" s="473"/>
      <c r="GYB12" s="473"/>
      <c r="GYC12" s="473"/>
      <c r="GYD12" s="473"/>
      <c r="GYE12" s="473"/>
      <c r="GYF12" s="473"/>
      <c r="GYG12" s="473"/>
      <c r="GYH12" s="473"/>
      <c r="GYI12" s="473"/>
      <c r="GYJ12" s="473"/>
      <c r="GYK12" s="473"/>
      <c r="GYL12" s="473"/>
      <c r="GYM12" s="473"/>
      <c r="GYN12" s="473"/>
      <c r="GYO12" s="473"/>
      <c r="GYP12" s="473"/>
      <c r="GYQ12" s="473"/>
      <c r="GYR12" s="473"/>
      <c r="GYS12" s="473"/>
      <c r="GYT12" s="473"/>
      <c r="GYU12" s="473"/>
      <c r="GYV12" s="473"/>
      <c r="GYW12" s="473"/>
      <c r="GYX12" s="473"/>
      <c r="GYY12" s="473"/>
      <c r="GYZ12" s="473"/>
      <c r="GZA12" s="473"/>
      <c r="GZB12" s="473"/>
      <c r="GZC12" s="473"/>
      <c r="GZD12" s="473"/>
      <c r="GZE12" s="473"/>
      <c r="GZF12" s="473"/>
      <c r="GZG12" s="473"/>
      <c r="GZH12" s="473"/>
      <c r="GZI12" s="473"/>
      <c r="GZJ12" s="473"/>
      <c r="GZK12" s="473"/>
      <c r="GZL12" s="473"/>
      <c r="GZM12" s="473"/>
      <c r="GZN12" s="473"/>
      <c r="GZO12" s="473"/>
      <c r="GZP12" s="473"/>
      <c r="GZQ12" s="473"/>
      <c r="GZR12" s="473"/>
      <c r="GZS12" s="473"/>
      <c r="GZT12" s="473"/>
      <c r="GZU12" s="473"/>
      <c r="GZV12" s="473"/>
      <c r="GZW12" s="473"/>
      <c r="GZX12" s="473"/>
      <c r="GZY12" s="473"/>
      <c r="GZZ12" s="473"/>
      <c r="HAA12" s="473"/>
      <c r="HAB12" s="473"/>
      <c r="HAC12" s="473"/>
      <c r="HAD12" s="473"/>
      <c r="HAE12" s="473"/>
      <c r="HAF12" s="473"/>
      <c r="HAG12" s="473"/>
      <c r="HAH12" s="473"/>
      <c r="HAI12" s="473"/>
      <c r="HAJ12" s="473"/>
      <c r="HAK12" s="473"/>
      <c r="HAL12" s="473"/>
      <c r="HAM12" s="473"/>
      <c r="HAN12" s="473"/>
      <c r="HAO12" s="473"/>
      <c r="HAP12" s="473"/>
      <c r="HAQ12" s="473"/>
      <c r="HAR12" s="473"/>
      <c r="HAS12" s="473"/>
      <c r="HAT12" s="473"/>
      <c r="HAU12" s="473"/>
      <c r="HAV12" s="473"/>
      <c r="HAW12" s="473"/>
      <c r="HAX12" s="473"/>
      <c r="HAY12" s="473"/>
      <c r="HAZ12" s="473"/>
      <c r="HBA12" s="473"/>
      <c r="HBB12" s="473"/>
      <c r="HBC12" s="473"/>
      <c r="HBD12" s="473"/>
      <c r="HBE12" s="473"/>
      <c r="HBF12" s="473"/>
      <c r="HBG12" s="473"/>
      <c r="HBH12" s="473"/>
      <c r="HBI12" s="473"/>
      <c r="HBJ12" s="473"/>
      <c r="HBK12" s="473"/>
      <c r="HBL12" s="473"/>
      <c r="HBM12" s="473"/>
      <c r="HBN12" s="473"/>
      <c r="HBO12" s="473"/>
      <c r="HBP12" s="473"/>
      <c r="HBQ12" s="473"/>
      <c r="HBR12" s="473"/>
      <c r="HBS12" s="473"/>
      <c r="HBT12" s="473"/>
      <c r="HBU12" s="473"/>
      <c r="HBV12" s="473"/>
      <c r="HBW12" s="473"/>
      <c r="HBX12" s="473"/>
      <c r="HBY12" s="473"/>
      <c r="HBZ12" s="473"/>
      <c r="HCA12" s="473"/>
      <c r="HCB12" s="473"/>
      <c r="HCC12" s="473"/>
      <c r="HCD12" s="473"/>
      <c r="HCE12" s="473"/>
      <c r="HCF12" s="473"/>
      <c r="HCG12" s="473"/>
      <c r="HCH12" s="473"/>
      <c r="HCI12" s="473"/>
      <c r="HCJ12" s="473"/>
      <c r="HCK12" s="473"/>
      <c r="HCL12" s="473"/>
      <c r="HCM12" s="473"/>
      <c r="HCN12" s="473"/>
      <c r="HCO12" s="473"/>
      <c r="HCP12" s="473"/>
      <c r="HCQ12" s="473"/>
      <c r="HCR12" s="473"/>
      <c r="HCS12" s="473"/>
      <c r="HCT12" s="473"/>
      <c r="HCU12" s="473"/>
      <c r="HCV12" s="473"/>
      <c r="HCW12" s="473"/>
      <c r="HCX12" s="473"/>
      <c r="HCY12" s="473"/>
      <c r="HCZ12" s="473"/>
      <c r="HDA12" s="473"/>
      <c r="HDB12" s="473"/>
      <c r="HDC12" s="473"/>
      <c r="HDD12" s="473"/>
      <c r="HDE12" s="473"/>
      <c r="HDF12" s="473"/>
      <c r="HDG12" s="473"/>
      <c r="HDH12" s="473"/>
      <c r="HDI12" s="473"/>
      <c r="HDJ12" s="473"/>
      <c r="HDK12" s="473"/>
      <c r="HDL12" s="473"/>
      <c r="HDM12" s="473"/>
      <c r="HDN12" s="473"/>
      <c r="HDO12" s="473"/>
      <c r="HDP12" s="473"/>
      <c r="HDQ12" s="473"/>
      <c r="HDR12" s="473"/>
      <c r="HDS12" s="473"/>
      <c r="HDT12" s="473"/>
      <c r="HDU12" s="473"/>
      <c r="HDV12" s="473"/>
      <c r="HDW12" s="473"/>
      <c r="HDX12" s="473"/>
      <c r="HDY12" s="473"/>
      <c r="HDZ12" s="473"/>
      <c r="HEA12" s="473"/>
      <c r="HEB12" s="473"/>
      <c r="HEC12" s="473"/>
      <c r="HED12" s="473"/>
      <c r="HEE12" s="473"/>
      <c r="HEF12" s="473"/>
      <c r="HEG12" s="473"/>
      <c r="HEH12" s="473"/>
      <c r="HEI12" s="473"/>
      <c r="HEJ12" s="473"/>
      <c r="HEK12" s="473"/>
      <c r="HEL12" s="473"/>
      <c r="HEM12" s="473"/>
      <c r="HEN12" s="473"/>
      <c r="HEO12" s="473"/>
      <c r="HEP12" s="473"/>
      <c r="HEQ12" s="473"/>
      <c r="HER12" s="473"/>
      <c r="HES12" s="473"/>
      <c r="HET12" s="473"/>
      <c r="HEU12" s="473"/>
      <c r="HEV12" s="473"/>
      <c r="HEW12" s="473"/>
      <c r="HEX12" s="473"/>
      <c r="HEY12" s="473"/>
      <c r="HEZ12" s="473"/>
      <c r="HFA12" s="473"/>
      <c r="HFB12" s="473"/>
      <c r="HFC12" s="473"/>
      <c r="HFD12" s="473"/>
      <c r="HFE12" s="473"/>
      <c r="HFF12" s="473"/>
      <c r="HFG12" s="473"/>
      <c r="HFH12" s="473"/>
      <c r="HFI12" s="473"/>
      <c r="HFJ12" s="473"/>
      <c r="HFK12" s="473"/>
      <c r="HFL12" s="473"/>
      <c r="HFM12" s="473"/>
      <c r="HFN12" s="473"/>
      <c r="HFO12" s="473"/>
      <c r="HFP12" s="473"/>
      <c r="HFQ12" s="473"/>
      <c r="HFR12" s="473"/>
      <c r="HFS12" s="473"/>
      <c r="HFT12" s="473"/>
      <c r="HFU12" s="473"/>
      <c r="HFV12" s="473"/>
      <c r="HFW12" s="473"/>
      <c r="HFX12" s="473"/>
      <c r="HFY12" s="473"/>
      <c r="HFZ12" s="473"/>
      <c r="HGA12" s="473"/>
      <c r="HGB12" s="473"/>
      <c r="HGC12" s="473"/>
      <c r="HGD12" s="473"/>
      <c r="HGE12" s="473"/>
      <c r="HGF12" s="473"/>
      <c r="HGG12" s="473"/>
      <c r="HGH12" s="473"/>
      <c r="HGI12" s="473"/>
      <c r="HGJ12" s="473"/>
      <c r="HGK12" s="473"/>
      <c r="HGL12" s="473"/>
      <c r="HGM12" s="473"/>
      <c r="HGN12" s="473"/>
      <c r="HGO12" s="473"/>
      <c r="HGP12" s="473"/>
      <c r="HGQ12" s="473"/>
      <c r="HGR12" s="473"/>
      <c r="HGS12" s="473"/>
      <c r="HGT12" s="473"/>
      <c r="HGU12" s="473"/>
      <c r="HGV12" s="473"/>
      <c r="HGW12" s="473"/>
      <c r="HGX12" s="473"/>
      <c r="HGY12" s="473"/>
      <c r="HGZ12" s="473"/>
      <c r="HHA12" s="473"/>
      <c r="HHB12" s="473"/>
      <c r="HHC12" s="473"/>
      <c r="HHD12" s="473"/>
      <c r="HHE12" s="473"/>
      <c r="HHF12" s="473"/>
      <c r="HHG12" s="473"/>
      <c r="HHH12" s="473"/>
      <c r="HHI12" s="473"/>
      <c r="HHJ12" s="473"/>
      <c r="HHK12" s="473"/>
      <c r="HHL12" s="473"/>
      <c r="HHM12" s="473"/>
      <c r="HHN12" s="473"/>
      <c r="HHO12" s="473"/>
      <c r="HHP12" s="473"/>
      <c r="HHQ12" s="473"/>
      <c r="HHR12" s="473"/>
      <c r="HHS12" s="473"/>
      <c r="HHT12" s="473"/>
      <c r="HHU12" s="473"/>
      <c r="HHV12" s="473"/>
      <c r="HHW12" s="473"/>
      <c r="HHX12" s="473"/>
      <c r="HHY12" s="473"/>
      <c r="HHZ12" s="473"/>
      <c r="HIA12" s="473"/>
      <c r="HIB12" s="473"/>
      <c r="HIC12" s="473"/>
      <c r="HID12" s="473"/>
      <c r="HIE12" s="473"/>
      <c r="HIF12" s="473"/>
      <c r="HIG12" s="473"/>
      <c r="HIH12" s="473"/>
      <c r="HII12" s="473"/>
      <c r="HIJ12" s="473"/>
      <c r="HIK12" s="473"/>
      <c r="HIL12" s="473"/>
      <c r="HIM12" s="473"/>
      <c r="HIN12" s="473"/>
      <c r="HIO12" s="473"/>
      <c r="HIP12" s="473"/>
      <c r="HIQ12" s="473"/>
      <c r="HIR12" s="473"/>
      <c r="HIS12" s="473"/>
      <c r="HIT12" s="473"/>
      <c r="HIU12" s="473"/>
      <c r="HIV12" s="473"/>
      <c r="HIW12" s="473"/>
      <c r="HIX12" s="473"/>
      <c r="HIY12" s="473"/>
      <c r="HIZ12" s="473"/>
      <c r="HJA12" s="473"/>
      <c r="HJB12" s="473"/>
      <c r="HJC12" s="473"/>
      <c r="HJD12" s="473"/>
      <c r="HJE12" s="473"/>
      <c r="HJF12" s="473"/>
      <c r="HJG12" s="473"/>
      <c r="HJH12" s="473"/>
      <c r="HJI12" s="473"/>
      <c r="HJJ12" s="473"/>
      <c r="HJK12" s="473"/>
      <c r="HJL12" s="473"/>
      <c r="HJM12" s="473"/>
      <c r="HJN12" s="473"/>
      <c r="HJO12" s="473"/>
      <c r="HJP12" s="473"/>
      <c r="HJQ12" s="473"/>
      <c r="HJR12" s="473"/>
      <c r="HJS12" s="473"/>
      <c r="HJT12" s="473"/>
      <c r="HJU12" s="473"/>
      <c r="HJV12" s="473"/>
      <c r="HJW12" s="473"/>
      <c r="HJX12" s="473"/>
      <c r="HJY12" s="473"/>
      <c r="HJZ12" s="473"/>
      <c r="HKA12" s="473"/>
      <c r="HKB12" s="473"/>
      <c r="HKC12" s="473"/>
      <c r="HKD12" s="473"/>
      <c r="HKE12" s="473"/>
      <c r="HKF12" s="473"/>
      <c r="HKG12" s="473"/>
      <c r="HKH12" s="473"/>
      <c r="HKI12" s="473"/>
      <c r="HKJ12" s="473"/>
      <c r="HKK12" s="473"/>
      <c r="HKL12" s="473"/>
      <c r="HKM12" s="473"/>
      <c r="HKN12" s="473"/>
      <c r="HKO12" s="473"/>
      <c r="HKP12" s="473"/>
      <c r="HKQ12" s="473"/>
      <c r="HKR12" s="473"/>
      <c r="HKS12" s="473"/>
      <c r="HKT12" s="473"/>
      <c r="HKU12" s="473"/>
      <c r="HKV12" s="473"/>
      <c r="HKW12" s="473"/>
      <c r="HKX12" s="473"/>
      <c r="HKY12" s="473"/>
      <c r="HKZ12" s="473"/>
      <c r="HLA12" s="473"/>
      <c r="HLB12" s="473"/>
      <c r="HLC12" s="473"/>
      <c r="HLD12" s="473"/>
      <c r="HLE12" s="473"/>
      <c r="HLF12" s="473"/>
      <c r="HLG12" s="473"/>
      <c r="HLH12" s="473"/>
      <c r="HLI12" s="473"/>
      <c r="HLJ12" s="473"/>
      <c r="HLK12" s="473"/>
      <c r="HLL12" s="473"/>
      <c r="HLM12" s="473"/>
      <c r="HLN12" s="473"/>
      <c r="HLO12" s="473"/>
      <c r="HLP12" s="473"/>
      <c r="HLQ12" s="473"/>
      <c r="HLR12" s="473"/>
      <c r="HLS12" s="473"/>
      <c r="HLT12" s="473"/>
      <c r="HLU12" s="473"/>
      <c r="HLV12" s="473"/>
      <c r="HLW12" s="473"/>
      <c r="HLX12" s="473"/>
      <c r="HLY12" s="473"/>
      <c r="HLZ12" s="473"/>
      <c r="HMA12" s="473"/>
      <c r="HMB12" s="473"/>
      <c r="HMC12" s="473"/>
      <c r="HMD12" s="473"/>
      <c r="HME12" s="473"/>
      <c r="HMF12" s="473"/>
      <c r="HMG12" s="473"/>
      <c r="HMH12" s="473"/>
      <c r="HMI12" s="473"/>
      <c r="HMJ12" s="473"/>
      <c r="HMK12" s="473"/>
      <c r="HML12" s="473"/>
      <c r="HMM12" s="473"/>
      <c r="HMN12" s="473"/>
      <c r="HMO12" s="473"/>
      <c r="HMP12" s="473"/>
      <c r="HMQ12" s="473"/>
      <c r="HMR12" s="473"/>
      <c r="HMS12" s="473"/>
      <c r="HMT12" s="473"/>
      <c r="HMU12" s="473"/>
      <c r="HMV12" s="473"/>
      <c r="HMW12" s="473"/>
      <c r="HMX12" s="473"/>
      <c r="HMY12" s="473"/>
      <c r="HMZ12" s="473"/>
      <c r="HNA12" s="473"/>
      <c r="HNB12" s="473"/>
      <c r="HNC12" s="473"/>
      <c r="HND12" s="473"/>
      <c r="HNE12" s="473"/>
      <c r="HNF12" s="473"/>
      <c r="HNG12" s="473"/>
      <c r="HNH12" s="473"/>
      <c r="HNI12" s="473"/>
      <c r="HNJ12" s="473"/>
      <c r="HNK12" s="473"/>
      <c r="HNL12" s="473"/>
      <c r="HNM12" s="473"/>
      <c r="HNN12" s="473"/>
      <c r="HNO12" s="473"/>
      <c r="HNP12" s="473"/>
      <c r="HNQ12" s="473"/>
      <c r="HNR12" s="473"/>
      <c r="HNS12" s="473"/>
      <c r="HNT12" s="473"/>
      <c r="HNU12" s="473"/>
      <c r="HNV12" s="473"/>
      <c r="HNW12" s="473"/>
      <c r="HNX12" s="473"/>
      <c r="HNY12" s="473"/>
      <c r="HNZ12" s="473"/>
      <c r="HOA12" s="473"/>
      <c r="HOB12" s="473"/>
      <c r="HOC12" s="473"/>
      <c r="HOD12" s="473"/>
      <c r="HOE12" s="473"/>
      <c r="HOF12" s="473"/>
      <c r="HOG12" s="473"/>
      <c r="HOH12" s="473"/>
      <c r="HOI12" s="473"/>
      <c r="HOJ12" s="473"/>
      <c r="HOK12" s="473"/>
      <c r="HOL12" s="473"/>
      <c r="HOM12" s="473"/>
      <c r="HON12" s="473"/>
      <c r="HOO12" s="473"/>
      <c r="HOP12" s="473"/>
      <c r="HOQ12" s="473"/>
      <c r="HOR12" s="473"/>
      <c r="HOS12" s="473"/>
      <c r="HOT12" s="473"/>
      <c r="HOU12" s="473"/>
      <c r="HOV12" s="473"/>
      <c r="HOW12" s="473"/>
      <c r="HOX12" s="473"/>
      <c r="HOY12" s="473"/>
      <c r="HOZ12" s="473"/>
      <c r="HPA12" s="473"/>
      <c r="HPB12" s="473"/>
      <c r="HPC12" s="473"/>
      <c r="HPD12" s="473"/>
      <c r="HPE12" s="473"/>
      <c r="HPF12" s="473"/>
      <c r="HPG12" s="473"/>
      <c r="HPH12" s="473"/>
      <c r="HPI12" s="473"/>
      <c r="HPJ12" s="473"/>
      <c r="HPK12" s="473"/>
      <c r="HPL12" s="473"/>
      <c r="HPM12" s="473"/>
      <c r="HPN12" s="473"/>
      <c r="HPO12" s="473"/>
      <c r="HPP12" s="473"/>
      <c r="HPQ12" s="473"/>
      <c r="HPR12" s="473"/>
      <c r="HPS12" s="473"/>
      <c r="HPT12" s="473"/>
      <c r="HPU12" s="473"/>
      <c r="HPV12" s="473"/>
      <c r="HPW12" s="473"/>
      <c r="HPX12" s="473"/>
      <c r="HPY12" s="473"/>
      <c r="HPZ12" s="473"/>
      <c r="HQA12" s="473"/>
      <c r="HQB12" s="473"/>
      <c r="HQC12" s="473"/>
      <c r="HQD12" s="473"/>
      <c r="HQE12" s="473"/>
      <c r="HQF12" s="473"/>
      <c r="HQG12" s="473"/>
      <c r="HQH12" s="473"/>
      <c r="HQI12" s="473"/>
      <c r="HQJ12" s="473"/>
      <c r="HQK12" s="473"/>
      <c r="HQL12" s="473"/>
      <c r="HQM12" s="473"/>
      <c r="HQN12" s="473"/>
      <c r="HQO12" s="473"/>
      <c r="HQP12" s="473"/>
      <c r="HQQ12" s="473"/>
      <c r="HQR12" s="473"/>
      <c r="HQS12" s="473"/>
      <c r="HQT12" s="473"/>
      <c r="HQU12" s="473"/>
      <c r="HQV12" s="473"/>
      <c r="HQW12" s="473"/>
      <c r="HQX12" s="473"/>
      <c r="HQY12" s="473"/>
      <c r="HQZ12" s="473"/>
      <c r="HRA12" s="473"/>
      <c r="HRB12" s="473"/>
      <c r="HRC12" s="473"/>
      <c r="HRD12" s="473"/>
      <c r="HRE12" s="473"/>
      <c r="HRF12" s="473"/>
      <c r="HRG12" s="473"/>
      <c r="HRH12" s="473"/>
      <c r="HRI12" s="473"/>
      <c r="HRJ12" s="473"/>
      <c r="HRK12" s="473"/>
      <c r="HRL12" s="473"/>
      <c r="HRM12" s="473"/>
      <c r="HRN12" s="473"/>
      <c r="HRO12" s="473"/>
      <c r="HRP12" s="473"/>
      <c r="HRQ12" s="473"/>
      <c r="HRR12" s="473"/>
      <c r="HRS12" s="473"/>
      <c r="HRT12" s="473"/>
      <c r="HRU12" s="473"/>
      <c r="HRV12" s="473"/>
      <c r="HRW12" s="473"/>
      <c r="HRX12" s="473"/>
      <c r="HRY12" s="473"/>
      <c r="HRZ12" s="473"/>
      <c r="HSA12" s="473"/>
      <c r="HSB12" s="473"/>
      <c r="HSC12" s="473"/>
      <c r="HSD12" s="473"/>
      <c r="HSE12" s="473"/>
      <c r="HSF12" s="473"/>
      <c r="HSG12" s="473"/>
      <c r="HSH12" s="473"/>
      <c r="HSI12" s="473"/>
      <c r="HSJ12" s="473"/>
      <c r="HSK12" s="473"/>
      <c r="HSL12" s="473"/>
      <c r="HSM12" s="473"/>
      <c r="HSN12" s="473"/>
      <c r="HSO12" s="473"/>
      <c r="HSP12" s="473"/>
      <c r="HSQ12" s="473"/>
      <c r="HSR12" s="473"/>
      <c r="HSS12" s="473"/>
      <c r="HST12" s="473"/>
      <c r="HSU12" s="473"/>
      <c r="HSV12" s="473"/>
      <c r="HSW12" s="473"/>
      <c r="HSX12" s="473"/>
      <c r="HSY12" s="473"/>
      <c r="HSZ12" s="473"/>
      <c r="HTA12" s="473"/>
      <c r="HTB12" s="473"/>
      <c r="HTC12" s="473"/>
      <c r="HTD12" s="473"/>
      <c r="HTE12" s="473"/>
      <c r="HTF12" s="473"/>
      <c r="HTG12" s="473"/>
      <c r="HTH12" s="473"/>
      <c r="HTI12" s="473"/>
      <c r="HTJ12" s="473"/>
      <c r="HTK12" s="473"/>
      <c r="HTL12" s="473"/>
      <c r="HTM12" s="473"/>
      <c r="HTN12" s="473"/>
      <c r="HTO12" s="473"/>
      <c r="HTP12" s="473"/>
      <c r="HTQ12" s="473"/>
      <c r="HTR12" s="473"/>
      <c r="HTS12" s="473"/>
      <c r="HTT12" s="473"/>
      <c r="HTU12" s="473"/>
      <c r="HTV12" s="473"/>
      <c r="HTW12" s="473"/>
      <c r="HTX12" s="473"/>
      <c r="HTY12" s="473"/>
      <c r="HTZ12" s="473"/>
      <c r="HUA12" s="473"/>
      <c r="HUB12" s="473"/>
      <c r="HUC12" s="473"/>
      <c r="HUD12" s="473"/>
      <c r="HUE12" s="473"/>
      <c r="HUF12" s="473"/>
      <c r="HUG12" s="473"/>
      <c r="HUH12" s="473"/>
      <c r="HUI12" s="473"/>
      <c r="HUJ12" s="473"/>
      <c r="HUK12" s="473"/>
      <c r="HUL12" s="473"/>
      <c r="HUM12" s="473"/>
      <c r="HUN12" s="473"/>
      <c r="HUO12" s="473"/>
      <c r="HUP12" s="473"/>
      <c r="HUQ12" s="473"/>
      <c r="HUR12" s="473"/>
      <c r="HUS12" s="473"/>
      <c r="HUT12" s="473"/>
      <c r="HUU12" s="473"/>
      <c r="HUV12" s="473"/>
      <c r="HUW12" s="473"/>
      <c r="HUX12" s="473"/>
      <c r="HUY12" s="473"/>
      <c r="HUZ12" s="473"/>
      <c r="HVA12" s="473"/>
      <c r="HVB12" s="473"/>
      <c r="HVC12" s="473"/>
      <c r="HVD12" s="473"/>
      <c r="HVE12" s="473"/>
      <c r="HVF12" s="473"/>
      <c r="HVG12" s="473"/>
      <c r="HVH12" s="473"/>
      <c r="HVI12" s="473"/>
      <c r="HVJ12" s="473"/>
      <c r="HVK12" s="473"/>
      <c r="HVL12" s="473"/>
      <c r="HVM12" s="473"/>
      <c r="HVN12" s="473"/>
      <c r="HVO12" s="473"/>
      <c r="HVP12" s="473"/>
      <c r="HVQ12" s="473"/>
      <c r="HVR12" s="473"/>
      <c r="HVS12" s="473"/>
      <c r="HVT12" s="473"/>
      <c r="HVU12" s="473"/>
      <c r="HVV12" s="473"/>
      <c r="HVW12" s="473"/>
      <c r="HVX12" s="473"/>
      <c r="HVY12" s="473"/>
      <c r="HVZ12" s="473"/>
      <c r="HWA12" s="473"/>
      <c r="HWB12" s="473"/>
      <c r="HWC12" s="473"/>
      <c r="HWD12" s="473"/>
      <c r="HWE12" s="473"/>
      <c r="HWF12" s="473"/>
      <c r="HWG12" s="473"/>
      <c r="HWH12" s="473"/>
      <c r="HWI12" s="473"/>
      <c r="HWJ12" s="473"/>
      <c r="HWK12" s="473"/>
      <c r="HWL12" s="473"/>
      <c r="HWM12" s="473"/>
      <c r="HWN12" s="473"/>
      <c r="HWO12" s="473"/>
      <c r="HWP12" s="473"/>
      <c r="HWQ12" s="473"/>
      <c r="HWR12" s="473"/>
      <c r="HWS12" s="473"/>
      <c r="HWT12" s="473"/>
      <c r="HWU12" s="473"/>
      <c r="HWV12" s="473"/>
      <c r="HWW12" s="473"/>
      <c r="HWX12" s="473"/>
      <c r="HWY12" s="473"/>
      <c r="HWZ12" s="473"/>
      <c r="HXA12" s="473"/>
      <c r="HXB12" s="473"/>
      <c r="HXC12" s="473"/>
      <c r="HXD12" s="473"/>
      <c r="HXE12" s="473"/>
      <c r="HXF12" s="473"/>
      <c r="HXG12" s="473"/>
      <c r="HXH12" s="473"/>
      <c r="HXI12" s="473"/>
      <c r="HXJ12" s="473"/>
      <c r="HXK12" s="473"/>
      <c r="HXL12" s="473"/>
      <c r="HXM12" s="473"/>
      <c r="HXN12" s="473"/>
      <c r="HXO12" s="473"/>
      <c r="HXP12" s="473"/>
      <c r="HXQ12" s="473"/>
      <c r="HXR12" s="473"/>
      <c r="HXS12" s="473"/>
      <c r="HXT12" s="473"/>
      <c r="HXU12" s="473"/>
      <c r="HXV12" s="473"/>
      <c r="HXW12" s="473"/>
      <c r="HXX12" s="473"/>
      <c r="HXY12" s="473"/>
      <c r="HXZ12" s="473"/>
      <c r="HYA12" s="473"/>
      <c r="HYB12" s="473"/>
      <c r="HYC12" s="473"/>
      <c r="HYD12" s="473"/>
      <c r="HYE12" s="473"/>
      <c r="HYF12" s="473"/>
      <c r="HYG12" s="473"/>
      <c r="HYH12" s="473"/>
      <c r="HYI12" s="473"/>
      <c r="HYJ12" s="473"/>
      <c r="HYK12" s="473"/>
      <c r="HYL12" s="473"/>
      <c r="HYM12" s="473"/>
      <c r="HYN12" s="473"/>
      <c r="HYO12" s="473"/>
      <c r="HYP12" s="473"/>
      <c r="HYQ12" s="473"/>
      <c r="HYR12" s="473"/>
      <c r="HYS12" s="473"/>
      <c r="HYT12" s="473"/>
      <c r="HYU12" s="473"/>
      <c r="HYV12" s="473"/>
      <c r="HYW12" s="473"/>
      <c r="HYX12" s="473"/>
      <c r="HYY12" s="473"/>
      <c r="HYZ12" s="473"/>
      <c r="HZA12" s="473"/>
      <c r="HZB12" s="473"/>
      <c r="HZC12" s="473"/>
      <c r="HZD12" s="473"/>
      <c r="HZE12" s="473"/>
      <c r="HZF12" s="473"/>
      <c r="HZG12" s="473"/>
      <c r="HZH12" s="473"/>
      <c r="HZI12" s="473"/>
      <c r="HZJ12" s="473"/>
      <c r="HZK12" s="473"/>
      <c r="HZL12" s="473"/>
      <c r="HZM12" s="473"/>
      <c r="HZN12" s="473"/>
      <c r="HZO12" s="473"/>
      <c r="HZP12" s="473"/>
      <c r="HZQ12" s="473"/>
      <c r="HZR12" s="473"/>
      <c r="HZS12" s="473"/>
      <c r="HZT12" s="473"/>
      <c r="HZU12" s="473"/>
      <c r="HZV12" s="473"/>
      <c r="HZW12" s="473"/>
      <c r="HZX12" s="473"/>
      <c r="HZY12" s="473"/>
      <c r="HZZ12" s="473"/>
      <c r="IAA12" s="473"/>
      <c r="IAB12" s="473"/>
      <c r="IAC12" s="473"/>
      <c r="IAD12" s="473"/>
      <c r="IAE12" s="473"/>
      <c r="IAF12" s="473"/>
      <c r="IAG12" s="473"/>
      <c r="IAH12" s="473"/>
      <c r="IAI12" s="473"/>
      <c r="IAJ12" s="473"/>
      <c r="IAK12" s="473"/>
      <c r="IAL12" s="473"/>
      <c r="IAM12" s="473"/>
      <c r="IAN12" s="473"/>
      <c r="IAO12" s="473"/>
      <c r="IAP12" s="473"/>
      <c r="IAQ12" s="473"/>
      <c r="IAR12" s="473"/>
      <c r="IAS12" s="473"/>
      <c r="IAT12" s="473"/>
      <c r="IAU12" s="473"/>
      <c r="IAV12" s="473"/>
      <c r="IAW12" s="473"/>
      <c r="IAX12" s="473"/>
      <c r="IAY12" s="473"/>
      <c r="IAZ12" s="473"/>
      <c r="IBA12" s="473"/>
      <c r="IBB12" s="473"/>
      <c r="IBC12" s="473"/>
      <c r="IBD12" s="473"/>
      <c r="IBE12" s="473"/>
      <c r="IBF12" s="473"/>
      <c r="IBG12" s="473"/>
      <c r="IBH12" s="473"/>
      <c r="IBI12" s="473"/>
      <c r="IBJ12" s="473"/>
      <c r="IBK12" s="473"/>
      <c r="IBL12" s="473"/>
      <c r="IBM12" s="473"/>
      <c r="IBN12" s="473"/>
      <c r="IBO12" s="473"/>
      <c r="IBP12" s="473"/>
      <c r="IBQ12" s="473"/>
      <c r="IBR12" s="473"/>
      <c r="IBS12" s="473"/>
      <c r="IBT12" s="473"/>
      <c r="IBU12" s="473"/>
      <c r="IBV12" s="473"/>
      <c r="IBW12" s="473"/>
      <c r="IBX12" s="473"/>
      <c r="IBY12" s="473"/>
      <c r="IBZ12" s="473"/>
      <c r="ICA12" s="473"/>
      <c r="ICB12" s="473"/>
      <c r="ICC12" s="473"/>
      <c r="ICD12" s="473"/>
      <c r="ICE12" s="473"/>
      <c r="ICF12" s="473"/>
      <c r="ICG12" s="473"/>
      <c r="ICH12" s="473"/>
      <c r="ICI12" s="473"/>
      <c r="ICJ12" s="473"/>
      <c r="ICK12" s="473"/>
      <c r="ICL12" s="473"/>
      <c r="ICM12" s="473"/>
      <c r="ICN12" s="473"/>
      <c r="ICO12" s="473"/>
      <c r="ICP12" s="473"/>
      <c r="ICQ12" s="473"/>
      <c r="ICR12" s="473"/>
      <c r="ICS12" s="473"/>
      <c r="ICT12" s="473"/>
      <c r="ICU12" s="473"/>
      <c r="ICV12" s="473"/>
      <c r="ICW12" s="473"/>
      <c r="ICX12" s="473"/>
      <c r="ICY12" s="473"/>
      <c r="ICZ12" s="473"/>
      <c r="IDA12" s="473"/>
      <c r="IDB12" s="473"/>
      <c r="IDC12" s="473"/>
      <c r="IDD12" s="473"/>
      <c r="IDE12" s="473"/>
      <c r="IDF12" s="473"/>
      <c r="IDG12" s="473"/>
      <c r="IDH12" s="473"/>
      <c r="IDI12" s="473"/>
      <c r="IDJ12" s="473"/>
      <c r="IDK12" s="473"/>
      <c r="IDL12" s="473"/>
      <c r="IDM12" s="473"/>
      <c r="IDN12" s="473"/>
      <c r="IDO12" s="473"/>
      <c r="IDP12" s="473"/>
      <c r="IDQ12" s="473"/>
      <c r="IDR12" s="473"/>
      <c r="IDS12" s="473"/>
      <c r="IDT12" s="473"/>
      <c r="IDU12" s="473"/>
      <c r="IDV12" s="473"/>
      <c r="IDW12" s="473"/>
      <c r="IDX12" s="473"/>
      <c r="IDY12" s="473"/>
      <c r="IDZ12" s="473"/>
      <c r="IEA12" s="473"/>
      <c r="IEB12" s="473"/>
      <c r="IEC12" s="473"/>
      <c r="IED12" s="473"/>
      <c r="IEE12" s="473"/>
      <c r="IEF12" s="473"/>
      <c r="IEG12" s="473"/>
      <c r="IEH12" s="473"/>
      <c r="IEI12" s="473"/>
      <c r="IEJ12" s="473"/>
      <c r="IEK12" s="473"/>
      <c r="IEL12" s="473"/>
      <c r="IEM12" s="473"/>
      <c r="IEN12" s="473"/>
      <c r="IEO12" s="473"/>
      <c r="IEP12" s="473"/>
      <c r="IEQ12" s="473"/>
      <c r="IER12" s="473"/>
      <c r="IES12" s="473"/>
      <c r="IET12" s="473"/>
      <c r="IEU12" s="473"/>
      <c r="IEV12" s="473"/>
      <c r="IEW12" s="473"/>
      <c r="IEX12" s="473"/>
      <c r="IEY12" s="473"/>
      <c r="IEZ12" s="473"/>
      <c r="IFA12" s="473"/>
      <c r="IFB12" s="473"/>
      <c r="IFC12" s="473"/>
      <c r="IFD12" s="473"/>
      <c r="IFE12" s="473"/>
      <c r="IFF12" s="473"/>
      <c r="IFG12" s="473"/>
      <c r="IFH12" s="473"/>
      <c r="IFI12" s="473"/>
      <c r="IFJ12" s="473"/>
      <c r="IFK12" s="473"/>
      <c r="IFL12" s="473"/>
      <c r="IFM12" s="473"/>
      <c r="IFN12" s="473"/>
      <c r="IFO12" s="473"/>
      <c r="IFP12" s="473"/>
      <c r="IFQ12" s="473"/>
      <c r="IFR12" s="473"/>
      <c r="IFS12" s="473"/>
      <c r="IFT12" s="473"/>
      <c r="IFU12" s="473"/>
      <c r="IFV12" s="473"/>
      <c r="IFW12" s="473"/>
      <c r="IFX12" s="473"/>
      <c r="IFY12" s="473"/>
      <c r="IFZ12" s="473"/>
      <c r="IGA12" s="473"/>
      <c r="IGB12" s="473"/>
      <c r="IGC12" s="473"/>
      <c r="IGD12" s="473"/>
      <c r="IGE12" s="473"/>
      <c r="IGF12" s="473"/>
      <c r="IGG12" s="473"/>
      <c r="IGH12" s="473"/>
      <c r="IGI12" s="473"/>
      <c r="IGJ12" s="473"/>
      <c r="IGK12" s="473"/>
      <c r="IGL12" s="473"/>
      <c r="IGM12" s="473"/>
      <c r="IGN12" s="473"/>
      <c r="IGO12" s="473"/>
      <c r="IGP12" s="473"/>
      <c r="IGQ12" s="473"/>
      <c r="IGR12" s="473"/>
      <c r="IGS12" s="473"/>
      <c r="IGT12" s="473"/>
      <c r="IGU12" s="473"/>
      <c r="IGV12" s="473"/>
      <c r="IGW12" s="473"/>
      <c r="IGX12" s="473"/>
      <c r="IGY12" s="473"/>
      <c r="IGZ12" s="473"/>
      <c r="IHA12" s="473"/>
      <c r="IHB12" s="473"/>
      <c r="IHC12" s="473"/>
      <c r="IHD12" s="473"/>
      <c r="IHE12" s="473"/>
      <c r="IHF12" s="473"/>
      <c r="IHG12" s="473"/>
      <c r="IHH12" s="473"/>
      <c r="IHI12" s="473"/>
      <c r="IHJ12" s="473"/>
      <c r="IHK12" s="473"/>
      <c r="IHL12" s="473"/>
      <c r="IHM12" s="473"/>
      <c r="IHN12" s="473"/>
      <c r="IHO12" s="473"/>
      <c r="IHP12" s="473"/>
      <c r="IHQ12" s="473"/>
      <c r="IHR12" s="473"/>
      <c r="IHS12" s="473"/>
      <c r="IHT12" s="473"/>
      <c r="IHU12" s="473"/>
      <c r="IHV12" s="473"/>
      <c r="IHW12" s="473"/>
      <c r="IHX12" s="473"/>
      <c r="IHY12" s="473"/>
      <c r="IHZ12" s="473"/>
      <c r="IIA12" s="473"/>
      <c r="IIB12" s="473"/>
      <c r="IIC12" s="473"/>
      <c r="IID12" s="473"/>
      <c r="IIE12" s="473"/>
      <c r="IIF12" s="473"/>
      <c r="IIG12" s="473"/>
      <c r="IIH12" s="473"/>
      <c r="III12" s="473"/>
      <c r="IIJ12" s="473"/>
      <c r="IIK12" s="473"/>
      <c r="IIL12" s="473"/>
      <c r="IIM12" s="473"/>
      <c r="IIN12" s="473"/>
      <c r="IIO12" s="473"/>
      <c r="IIP12" s="473"/>
      <c r="IIQ12" s="473"/>
      <c r="IIR12" s="473"/>
      <c r="IIS12" s="473"/>
      <c r="IIT12" s="473"/>
      <c r="IIU12" s="473"/>
      <c r="IIV12" s="473"/>
      <c r="IIW12" s="473"/>
      <c r="IIX12" s="473"/>
      <c r="IIY12" s="473"/>
      <c r="IIZ12" s="473"/>
      <c r="IJA12" s="473"/>
      <c r="IJB12" s="473"/>
      <c r="IJC12" s="473"/>
      <c r="IJD12" s="473"/>
      <c r="IJE12" s="473"/>
      <c r="IJF12" s="473"/>
      <c r="IJG12" s="473"/>
      <c r="IJH12" s="473"/>
      <c r="IJI12" s="473"/>
      <c r="IJJ12" s="473"/>
      <c r="IJK12" s="473"/>
      <c r="IJL12" s="473"/>
      <c r="IJM12" s="473"/>
      <c r="IJN12" s="473"/>
      <c r="IJO12" s="473"/>
      <c r="IJP12" s="473"/>
      <c r="IJQ12" s="473"/>
      <c r="IJR12" s="473"/>
      <c r="IJS12" s="473"/>
      <c r="IJT12" s="473"/>
      <c r="IJU12" s="473"/>
      <c r="IJV12" s="473"/>
      <c r="IJW12" s="473"/>
      <c r="IJX12" s="473"/>
      <c r="IJY12" s="473"/>
      <c r="IJZ12" s="473"/>
      <c r="IKA12" s="473"/>
      <c r="IKB12" s="473"/>
      <c r="IKC12" s="473"/>
      <c r="IKD12" s="473"/>
      <c r="IKE12" s="473"/>
      <c r="IKF12" s="473"/>
      <c r="IKG12" s="473"/>
      <c r="IKH12" s="473"/>
      <c r="IKI12" s="473"/>
      <c r="IKJ12" s="473"/>
      <c r="IKK12" s="473"/>
      <c r="IKL12" s="473"/>
      <c r="IKM12" s="473"/>
      <c r="IKN12" s="473"/>
      <c r="IKO12" s="473"/>
      <c r="IKP12" s="473"/>
      <c r="IKQ12" s="473"/>
      <c r="IKR12" s="473"/>
      <c r="IKS12" s="473"/>
      <c r="IKT12" s="473"/>
      <c r="IKU12" s="473"/>
      <c r="IKV12" s="473"/>
      <c r="IKW12" s="473"/>
      <c r="IKX12" s="473"/>
      <c r="IKY12" s="473"/>
      <c r="IKZ12" s="473"/>
      <c r="ILA12" s="473"/>
      <c r="ILB12" s="473"/>
      <c r="ILC12" s="473"/>
      <c r="ILD12" s="473"/>
      <c r="ILE12" s="473"/>
      <c r="ILF12" s="473"/>
      <c r="ILG12" s="473"/>
      <c r="ILH12" s="473"/>
      <c r="ILI12" s="473"/>
      <c r="ILJ12" s="473"/>
      <c r="ILK12" s="473"/>
      <c r="ILL12" s="473"/>
      <c r="ILM12" s="473"/>
      <c r="ILN12" s="473"/>
      <c r="ILO12" s="473"/>
      <c r="ILP12" s="473"/>
      <c r="ILQ12" s="473"/>
      <c r="ILR12" s="473"/>
      <c r="ILS12" s="473"/>
      <c r="ILT12" s="473"/>
      <c r="ILU12" s="473"/>
      <c r="ILV12" s="473"/>
      <c r="ILW12" s="473"/>
      <c r="ILX12" s="473"/>
      <c r="ILY12" s="473"/>
      <c r="ILZ12" s="473"/>
      <c r="IMA12" s="473"/>
      <c r="IMB12" s="473"/>
      <c r="IMC12" s="473"/>
      <c r="IMD12" s="473"/>
      <c r="IME12" s="473"/>
      <c r="IMF12" s="473"/>
      <c r="IMG12" s="473"/>
      <c r="IMH12" s="473"/>
      <c r="IMI12" s="473"/>
      <c r="IMJ12" s="473"/>
      <c r="IMK12" s="473"/>
      <c r="IML12" s="473"/>
      <c r="IMM12" s="473"/>
      <c r="IMN12" s="473"/>
      <c r="IMO12" s="473"/>
      <c r="IMP12" s="473"/>
      <c r="IMQ12" s="473"/>
      <c r="IMR12" s="473"/>
      <c r="IMS12" s="473"/>
      <c r="IMT12" s="473"/>
      <c r="IMU12" s="473"/>
      <c r="IMV12" s="473"/>
      <c r="IMW12" s="473"/>
      <c r="IMX12" s="473"/>
      <c r="IMY12" s="473"/>
      <c r="IMZ12" s="473"/>
      <c r="INA12" s="473"/>
      <c r="INB12" s="473"/>
      <c r="INC12" s="473"/>
      <c r="IND12" s="473"/>
      <c r="INE12" s="473"/>
      <c r="INF12" s="473"/>
      <c r="ING12" s="473"/>
      <c r="INH12" s="473"/>
      <c r="INI12" s="473"/>
      <c r="INJ12" s="473"/>
      <c r="INK12" s="473"/>
      <c r="INL12" s="473"/>
      <c r="INM12" s="473"/>
      <c r="INN12" s="473"/>
      <c r="INO12" s="473"/>
      <c r="INP12" s="473"/>
      <c r="INQ12" s="473"/>
      <c r="INR12" s="473"/>
      <c r="INS12" s="473"/>
      <c r="INT12" s="473"/>
      <c r="INU12" s="473"/>
      <c r="INV12" s="473"/>
      <c r="INW12" s="473"/>
      <c r="INX12" s="473"/>
      <c r="INY12" s="473"/>
      <c r="INZ12" s="473"/>
      <c r="IOA12" s="473"/>
      <c r="IOB12" s="473"/>
      <c r="IOC12" s="473"/>
      <c r="IOD12" s="473"/>
      <c r="IOE12" s="473"/>
      <c r="IOF12" s="473"/>
      <c r="IOG12" s="473"/>
      <c r="IOH12" s="473"/>
      <c r="IOI12" s="473"/>
      <c r="IOJ12" s="473"/>
      <c r="IOK12" s="473"/>
      <c r="IOL12" s="473"/>
      <c r="IOM12" s="473"/>
      <c r="ION12" s="473"/>
      <c r="IOO12" s="473"/>
      <c r="IOP12" s="473"/>
      <c r="IOQ12" s="473"/>
      <c r="IOR12" s="473"/>
      <c r="IOS12" s="473"/>
      <c r="IOT12" s="473"/>
      <c r="IOU12" s="473"/>
      <c r="IOV12" s="473"/>
      <c r="IOW12" s="473"/>
      <c r="IOX12" s="473"/>
      <c r="IOY12" s="473"/>
      <c r="IOZ12" s="473"/>
      <c r="IPA12" s="473"/>
      <c r="IPB12" s="473"/>
      <c r="IPC12" s="473"/>
      <c r="IPD12" s="473"/>
      <c r="IPE12" s="473"/>
      <c r="IPF12" s="473"/>
      <c r="IPG12" s="473"/>
      <c r="IPH12" s="473"/>
      <c r="IPI12" s="473"/>
      <c r="IPJ12" s="473"/>
      <c r="IPK12" s="473"/>
      <c r="IPL12" s="473"/>
      <c r="IPM12" s="473"/>
      <c r="IPN12" s="473"/>
      <c r="IPO12" s="473"/>
      <c r="IPP12" s="473"/>
      <c r="IPQ12" s="473"/>
      <c r="IPR12" s="473"/>
      <c r="IPS12" s="473"/>
      <c r="IPT12" s="473"/>
      <c r="IPU12" s="473"/>
      <c r="IPV12" s="473"/>
      <c r="IPW12" s="473"/>
      <c r="IPX12" s="473"/>
      <c r="IPY12" s="473"/>
      <c r="IPZ12" s="473"/>
      <c r="IQA12" s="473"/>
      <c r="IQB12" s="473"/>
      <c r="IQC12" s="473"/>
      <c r="IQD12" s="473"/>
      <c r="IQE12" s="473"/>
      <c r="IQF12" s="473"/>
      <c r="IQG12" s="473"/>
      <c r="IQH12" s="473"/>
      <c r="IQI12" s="473"/>
      <c r="IQJ12" s="473"/>
      <c r="IQK12" s="473"/>
      <c r="IQL12" s="473"/>
      <c r="IQM12" s="473"/>
      <c r="IQN12" s="473"/>
      <c r="IQO12" s="473"/>
      <c r="IQP12" s="473"/>
      <c r="IQQ12" s="473"/>
      <c r="IQR12" s="473"/>
      <c r="IQS12" s="473"/>
      <c r="IQT12" s="473"/>
      <c r="IQU12" s="473"/>
      <c r="IQV12" s="473"/>
      <c r="IQW12" s="473"/>
      <c r="IQX12" s="473"/>
      <c r="IQY12" s="473"/>
      <c r="IQZ12" s="473"/>
      <c r="IRA12" s="473"/>
      <c r="IRB12" s="473"/>
      <c r="IRC12" s="473"/>
      <c r="IRD12" s="473"/>
      <c r="IRE12" s="473"/>
      <c r="IRF12" s="473"/>
      <c r="IRG12" s="473"/>
      <c r="IRH12" s="473"/>
      <c r="IRI12" s="473"/>
      <c r="IRJ12" s="473"/>
      <c r="IRK12" s="473"/>
      <c r="IRL12" s="473"/>
      <c r="IRM12" s="473"/>
      <c r="IRN12" s="473"/>
      <c r="IRO12" s="473"/>
      <c r="IRP12" s="473"/>
      <c r="IRQ12" s="473"/>
      <c r="IRR12" s="473"/>
      <c r="IRS12" s="473"/>
      <c r="IRT12" s="473"/>
      <c r="IRU12" s="473"/>
      <c r="IRV12" s="473"/>
      <c r="IRW12" s="473"/>
      <c r="IRX12" s="473"/>
      <c r="IRY12" s="473"/>
      <c r="IRZ12" s="473"/>
      <c r="ISA12" s="473"/>
      <c r="ISB12" s="473"/>
      <c r="ISC12" s="473"/>
      <c r="ISD12" s="473"/>
      <c r="ISE12" s="473"/>
      <c r="ISF12" s="473"/>
      <c r="ISG12" s="473"/>
      <c r="ISH12" s="473"/>
      <c r="ISI12" s="473"/>
      <c r="ISJ12" s="473"/>
      <c r="ISK12" s="473"/>
      <c r="ISL12" s="473"/>
      <c r="ISM12" s="473"/>
      <c r="ISN12" s="473"/>
      <c r="ISO12" s="473"/>
      <c r="ISP12" s="473"/>
      <c r="ISQ12" s="473"/>
      <c r="ISR12" s="473"/>
      <c r="ISS12" s="473"/>
      <c r="IST12" s="473"/>
      <c r="ISU12" s="473"/>
      <c r="ISV12" s="473"/>
      <c r="ISW12" s="473"/>
      <c r="ISX12" s="473"/>
      <c r="ISY12" s="473"/>
      <c r="ISZ12" s="473"/>
      <c r="ITA12" s="473"/>
      <c r="ITB12" s="473"/>
      <c r="ITC12" s="473"/>
      <c r="ITD12" s="473"/>
      <c r="ITE12" s="473"/>
      <c r="ITF12" s="473"/>
      <c r="ITG12" s="473"/>
      <c r="ITH12" s="473"/>
      <c r="ITI12" s="473"/>
      <c r="ITJ12" s="473"/>
      <c r="ITK12" s="473"/>
      <c r="ITL12" s="473"/>
      <c r="ITM12" s="473"/>
      <c r="ITN12" s="473"/>
      <c r="ITO12" s="473"/>
      <c r="ITP12" s="473"/>
      <c r="ITQ12" s="473"/>
      <c r="ITR12" s="473"/>
      <c r="ITS12" s="473"/>
      <c r="ITT12" s="473"/>
      <c r="ITU12" s="473"/>
      <c r="ITV12" s="473"/>
      <c r="ITW12" s="473"/>
      <c r="ITX12" s="473"/>
      <c r="ITY12" s="473"/>
      <c r="ITZ12" s="473"/>
      <c r="IUA12" s="473"/>
      <c r="IUB12" s="473"/>
      <c r="IUC12" s="473"/>
      <c r="IUD12" s="473"/>
      <c r="IUE12" s="473"/>
      <c r="IUF12" s="473"/>
      <c r="IUG12" s="473"/>
      <c r="IUH12" s="473"/>
      <c r="IUI12" s="473"/>
      <c r="IUJ12" s="473"/>
      <c r="IUK12" s="473"/>
      <c r="IUL12" s="473"/>
      <c r="IUM12" s="473"/>
      <c r="IUN12" s="473"/>
      <c r="IUO12" s="473"/>
      <c r="IUP12" s="473"/>
      <c r="IUQ12" s="473"/>
      <c r="IUR12" s="473"/>
      <c r="IUS12" s="473"/>
      <c r="IUT12" s="473"/>
      <c r="IUU12" s="473"/>
      <c r="IUV12" s="473"/>
      <c r="IUW12" s="473"/>
      <c r="IUX12" s="473"/>
      <c r="IUY12" s="473"/>
      <c r="IUZ12" s="473"/>
      <c r="IVA12" s="473"/>
      <c r="IVB12" s="473"/>
      <c r="IVC12" s="473"/>
      <c r="IVD12" s="473"/>
      <c r="IVE12" s="473"/>
      <c r="IVF12" s="473"/>
      <c r="IVG12" s="473"/>
      <c r="IVH12" s="473"/>
      <c r="IVI12" s="473"/>
      <c r="IVJ12" s="473"/>
      <c r="IVK12" s="473"/>
      <c r="IVL12" s="473"/>
      <c r="IVM12" s="473"/>
      <c r="IVN12" s="473"/>
      <c r="IVO12" s="473"/>
      <c r="IVP12" s="473"/>
      <c r="IVQ12" s="473"/>
      <c r="IVR12" s="473"/>
      <c r="IVS12" s="473"/>
      <c r="IVT12" s="473"/>
      <c r="IVU12" s="473"/>
      <c r="IVV12" s="473"/>
      <c r="IVW12" s="473"/>
      <c r="IVX12" s="473"/>
      <c r="IVY12" s="473"/>
      <c r="IVZ12" s="473"/>
      <c r="IWA12" s="473"/>
      <c r="IWB12" s="473"/>
      <c r="IWC12" s="473"/>
      <c r="IWD12" s="473"/>
      <c r="IWE12" s="473"/>
      <c r="IWF12" s="473"/>
      <c r="IWG12" s="473"/>
      <c r="IWH12" s="473"/>
      <c r="IWI12" s="473"/>
      <c r="IWJ12" s="473"/>
      <c r="IWK12" s="473"/>
      <c r="IWL12" s="473"/>
      <c r="IWM12" s="473"/>
      <c r="IWN12" s="473"/>
      <c r="IWO12" s="473"/>
      <c r="IWP12" s="473"/>
      <c r="IWQ12" s="473"/>
      <c r="IWR12" s="473"/>
      <c r="IWS12" s="473"/>
      <c r="IWT12" s="473"/>
      <c r="IWU12" s="473"/>
      <c r="IWV12" s="473"/>
      <c r="IWW12" s="473"/>
      <c r="IWX12" s="473"/>
      <c r="IWY12" s="473"/>
      <c r="IWZ12" s="473"/>
      <c r="IXA12" s="473"/>
      <c r="IXB12" s="473"/>
      <c r="IXC12" s="473"/>
      <c r="IXD12" s="473"/>
      <c r="IXE12" s="473"/>
      <c r="IXF12" s="473"/>
      <c r="IXG12" s="473"/>
      <c r="IXH12" s="473"/>
      <c r="IXI12" s="473"/>
      <c r="IXJ12" s="473"/>
      <c r="IXK12" s="473"/>
      <c r="IXL12" s="473"/>
      <c r="IXM12" s="473"/>
      <c r="IXN12" s="473"/>
      <c r="IXO12" s="473"/>
      <c r="IXP12" s="473"/>
      <c r="IXQ12" s="473"/>
      <c r="IXR12" s="473"/>
      <c r="IXS12" s="473"/>
      <c r="IXT12" s="473"/>
      <c r="IXU12" s="473"/>
      <c r="IXV12" s="473"/>
      <c r="IXW12" s="473"/>
      <c r="IXX12" s="473"/>
      <c r="IXY12" s="473"/>
      <c r="IXZ12" s="473"/>
      <c r="IYA12" s="473"/>
      <c r="IYB12" s="473"/>
      <c r="IYC12" s="473"/>
      <c r="IYD12" s="473"/>
      <c r="IYE12" s="473"/>
      <c r="IYF12" s="473"/>
      <c r="IYG12" s="473"/>
      <c r="IYH12" s="473"/>
      <c r="IYI12" s="473"/>
      <c r="IYJ12" s="473"/>
      <c r="IYK12" s="473"/>
      <c r="IYL12" s="473"/>
      <c r="IYM12" s="473"/>
      <c r="IYN12" s="473"/>
      <c r="IYO12" s="473"/>
      <c r="IYP12" s="473"/>
      <c r="IYQ12" s="473"/>
      <c r="IYR12" s="473"/>
      <c r="IYS12" s="473"/>
      <c r="IYT12" s="473"/>
      <c r="IYU12" s="473"/>
      <c r="IYV12" s="473"/>
      <c r="IYW12" s="473"/>
      <c r="IYX12" s="473"/>
      <c r="IYY12" s="473"/>
      <c r="IYZ12" s="473"/>
      <c r="IZA12" s="473"/>
      <c r="IZB12" s="473"/>
      <c r="IZC12" s="473"/>
      <c r="IZD12" s="473"/>
      <c r="IZE12" s="473"/>
      <c r="IZF12" s="473"/>
      <c r="IZG12" s="473"/>
      <c r="IZH12" s="473"/>
      <c r="IZI12" s="473"/>
      <c r="IZJ12" s="473"/>
      <c r="IZK12" s="473"/>
      <c r="IZL12" s="473"/>
      <c r="IZM12" s="473"/>
      <c r="IZN12" s="473"/>
      <c r="IZO12" s="473"/>
      <c r="IZP12" s="473"/>
      <c r="IZQ12" s="473"/>
      <c r="IZR12" s="473"/>
      <c r="IZS12" s="473"/>
      <c r="IZT12" s="473"/>
      <c r="IZU12" s="473"/>
      <c r="IZV12" s="473"/>
      <c r="IZW12" s="473"/>
      <c r="IZX12" s="473"/>
      <c r="IZY12" s="473"/>
      <c r="IZZ12" s="473"/>
      <c r="JAA12" s="473"/>
      <c r="JAB12" s="473"/>
      <c r="JAC12" s="473"/>
      <c r="JAD12" s="473"/>
      <c r="JAE12" s="473"/>
      <c r="JAF12" s="473"/>
      <c r="JAG12" s="473"/>
      <c r="JAH12" s="473"/>
      <c r="JAI12" s="473"/>
      <c r="JAJ12" s="473"/>
      <c r="JAK12" s="473"/>
      <c r="JAL12" s="473"/>
      <c r="JAM12" s="473"/>
      <c r="JAN12" s="473"/>
      <c r="JAO12" s="473"/>
      <c r="JAP12" s="473"/>
      <c r="JAQ12" s="473"/>
      <c r="JAR12" s="473"/>
      <c r="JAS12" s="473"/>
      <c r="JAT12" s="473"/>
      <c r="JAU12" s="473"/>
      <c r="JAV12" s="473"/>
      <c r="JAW12" s="473"/>
      <c r="JAX12" s="473"/>
      <c r="JAY12" s="473"/>
      <c r="JAZ12" s="473"/>
      <c r="JBA12" s="473"/>
      <c r="JBB12" s="473"/>
      <c r="JBC12" s="473"/>
      <c r="JBD12" s="473"/>
      <c r="JBE12" s="473"/>
      <c r="JBF12" s="473"/>
      <c r="JBG12" s="473"/>
      <c r="JBH12" s="473"/>
      <c r="JBI12" s="473"/>
      <c r="JBJ12" s="473"/>
      <c r="JBK12" s="473"/>
      <c r="JBL12" s="473"/>
      <c r="JBM12" s="473"/>
      <c r="JBN12" s="473"/>
      <c r="JBO12" s="473"/>
      <c r="JBP12" s="473"/>
      <c r="JBQ12" s="473"/>
      <c r="JBR12" s="473"/>
      <c r="JBS12" s="473"/>
      <c r="JBT12" s="473"/>
      <c r="JBU12" s="473"/>
      <c r="JBV12" s="473"/>
      <c r="JBW12" s="473"/>
      <c r="JBX12" s="473"/>
      <c r="JBY12" s="473"/>
      <c r="JBZ12" s="473"/>
      <c r="JCA12" s="473"/>
      <c r="JCB12" s="473"/>
      <c r="JCC12" s="473"/>
      <c r="JCD12" s="473"/>
      <c r="JCE12" s="473"/>
      <c r="JCF12" s="473"/>
      <c r="JCG12" s="473"/>
      <c r="JCH12" s="473"/>
      <c r="JCI12" s="473"/>
      <c r="JCJ12" s="473"/>
      <c r="JCK12" s="473"/>
      <c r="JCL12" s="473"/>
      <c r="JCM12" s="473"/>
      <c r="JCN12" s="473"/>
      <c r="JCO12" s="473"/>
      <c r="JCP12" s="473"/>
      <c r="JCQ12" s="473"/>
      <c r="JCR12" s="473"/>
      <c r="JCS12" s="473"/>
      <c r="JCT12" s="473"/>
      <c r="JCU12" s="473"/>
      <c r="JCV12" s="473"/>
      <c r="JCW12" s="473"/>
      <c r="JCX12" s="473"/>
      <c r="JCY12" s="473"/>
      <c r="JCZ12" s="473"/>
      <c r="JDA12" s="473"/>
      <c r="JDB12" s="473"/>
      <c r="JDC12" s="473"/>
      <c r="JDD12" s="473"/>
      <c r="JDE12" s="473"/>
      <c r="JDF12" s="473"/>
      <c r="JDG12" s="473"/>
      <c r="JDH12" s="473"/>
      <c r="JDI12" s="473"/>
      <c r="JDJ12" s="473"/>
      <c r="JDK12" s="473"/>
      <c r="JDL12" s="473"/>
      <c r="JDM12" s="473"/>
      <c r="JDN12" s="473"/>
      <c r="JDO12" s="473"/>
      <c r="JDP12" s="473"/>
      <c r="JDQ12" s="473"/>
      <c r="JDR12" s="473"/>
      <c r="JDS12" s="473"/>
      <c r="JDT12" s="473"/>
      <c r="JDU12" s="473"/>
      <c r="JDV12" s="473"/>
      <c r="JDW12" s="473"/>
      <c r="JDX12" s="473"/>
      <c r="JDY12" s="473"/>
      <c r="JDZ12" s="473"/>
      <c r="JEA12" s="473"/>
      <c r="JEB12" s="473"/>
      <c r="JEC12" s="473"/>
      <c r="JED12" s="473"/>
      <c r="JEE12" s="473"/>
      <c r="JEF12" s="473"/>
      <c r="JEG12" s="473"/>
      <c r="JEH12" s="473"/>
      <c r="JEI12" s="473"/>
      <c r="JEJ12" s="473"/>
      <c r="JEK12" s="473"/>
      <c r="JEL12" s="473"/>
      <c r="JEM12" s="473"/>
      <c r="JEN12" s="473"/>
      <c r="JEO12" s="473"/>
      <c r="JEP12" s="473"/>
      <c r="JEQ12" s="473"/>
      <c r="JER12" s="473"/>
      <c r="JES12" s="473"/>
      <c r="JET12" s="473"/>
      <c r="JEU12" s="473"/>
      <c r="JEV12" s="473"/>
      <c r="JEW12" s="473"/>
      <c r="JEX12" s="473"/>
      <c r="JEY12" s="473"/>
      <c r="JEZ12" s="473"/>
      <c r="JFA12" s="473"/>
      <c r="JFB12" s="473"/>
      <c r="JFC12" s="473"/>
      <c r="JFD12" s="473"/>
      <c r="JFE12" s="473"/>
      <c r="JFF12" s="473"/>
      <c r="JFG12" s="473"/>
      <c r="JFH12" s="473"/>
      <c r="JFI12" s="473"/>
      <c r="JFJ12" s="473"/>
      <c r="JFK12" s="473"/>
      <c r="JFL12" s="473"/>
      <c r="JFM12" s="473"/>
      <c r="JFN12" s="473"/>
      <c r="JFO12" s="473"/>
      <c r="JFP12" s="473"/>
      <c r="JFQ12" s="473"/>
      <c r="JFR12" s="473"/>
      <c r="JFS12" s="473"/>
      <c r="JFT12" s="473"/>
      <c r="JFU12" s="473"/>
      <c r="JFV12" s="473"/>
      <c r="JFW12" s="473"/>
      <c r="JFX12" s="473"/>
      <c r="JFY12" s="473"/>
      <c r="JFZ12" s="473"/>
      <c r="JGA12" s="473"/>
      <c r="JGB12" s="473"/>
      <c r="JGC12" s="473"/>
      <c r="JGD12" s="473"/>
      <c r="JGE12" s="473"/>
      <c r="JGF12" s="473"/>
      <c r="JGG12" s="473"/>
      <c r="JGH12" s="473"/>
      <c r="JGI12" s="473"/>
      <c r="JGJ12" s="473"/>
      <c r="JGK12" s="473"/>
      <c r="JGL12" s="473"/>
      <c r="JGM12" s="473"/>
      <c r="JGN12" s="473"/>
      <c r="JGO12" s="473"/>
      <c r="JGP12" s="473"/>
      <c r="JGQ12" s="473"/>
      <c r="JGR12" s="473"/>
      <c r="JGS12" s="473"/>
      <c r="JGT12" s="473"/>
      <c r="JGU12" s="473"/>
      <c r="JGV12" s="473"/>
      <c r="JGW12" s="473"/>
      <c r="JGX12" s="473"/>
      <c r="JGY12" s="473"/>
      <c r="JGZ12" s="473"/>
      <c r="JHA12" s="473"/>
      <c r="JHB12" s="473"/>
      <c r="JHC12" s="473"/>
      <c r="JHD12" s="473"/>
      <c r="JHE12" s="473"/>
      <c r="JHF12" s="473"/>
      <c r="JHG12" s="473"/>
      <c r="JHH12" s="473"/>
      <c r="JHI12" s="473"/>
      <c r="JHJ12" s="473"/>
      <c r="JHK12" s="473"/>
      <c r="JHL12" s="473"/>
      <c r="JHM12" s="473"/>
      <c r="JHN12" s="473"/>
      <c r="JHO12" s="473"/>
      <c r="JHP12" s="473"/>
      <c r="JHQ12" s="473"/>
      <c r="JHR12" s="473"/>
      <c r="JHS12" s="473"/>
      <c r="JHT12" s="473"/>
      <c r="JHU12" s="473"/>
      <c r="JHV12" s="473"/>
      <c r="JHW12" s="473"/>
      <c r="JHX12" s="473"/>
      <c r="JHY12" s="473"/>
      <c r="JHZ12" s="473"/>
      <c r="JIA12" s="473"/>
      <c r="JIB12" s="473"/>
      <c r="JIC12" s="473"/>
      <c r="JID12" s="473"/>
      <c r="JIE12" s="473"/>
      <c r="JIF12" s="473"/>
      <c r="JIG12" s="473"/>
      <c r="JIH12" s="473"/>
      <c r="JII12" s="473"/>
      <c r="JIJ12" s="473"/>
      <c r="JIK12" s="473"/>
      <c r="JIL12" s="473"/>
      <c r="JIM12" s="473"/>
      <c r="JIN12" s="473"/>
      <c r="JIO12" s="473"/>
      <c r="JIP12" s="473"/>
      <c r="JIQ12" s="473"/>
      <c r="JIR12" s="473"/>
      <c r="JIS12" s="473"/>
      <c r="JIT12" s="473"/>
      <c r="JIU12" s="473"/>
      <c r="JIV12" s="473"/>
      <c r="JIW12" s="473"/>
      <c r="JIX12" s="473"/>
      <c r="JIY12" s="473"/>
      <c r="JIZ12" s="473"/>
      <c r="JJA12" s="473"/>
      <c r="JJB12" s="473"/>
      <c r="JJC12" s="473"/>
      <c r="JJD12" s="473"/>
      <c r="JJE12" s="473"/>
      <c r="JJF12" s="473"/>
      <c r="JJG12" s="473"/>
      <c r="JJH12" s="473"/>
      <c r="JJI12" s="473"/>
      <c r="JJJ12" s="473"/>
      <c r="JJK12" s="473"/>
      <c r="JJL12" s="473"/>
      <c r="JJM12" s="473"/>
      <c r="JJN12" s="473"/>
      <c r="JJO12" s="473"/>
      <c r="JJP12" s="473"/>
      <c r="JJQ12" s="473"/>
      <c r="JJR12" s="473"/>
      <c r="JJS12" s="473"/>
      <c r="JJT12" s="473"/>
      <c r="JJU12" s="473"/>
      <c r="JJV12" s="473"/>
      <c r="JJW12" s="473"/>
      <c r="JJX12" s="473"/>
      <c r="JJY12" s="473"/>
      <c r="JJZ12" s="473"/>
      <c r="JKA12" s="473"/>
      <c r="JKB12" s="473"/>
      <c r="JKC12" s="473"/>
      <c r="JKD12" s="473"/>
      <c r="JKE12" s="473"/>
      <c r="JKF12" s="473"/>
      <c r="JKG12" s="473"/>
      <c r="JKH12" s="473"/>
      <c r="JKI12" s="473"/>
      <c r="JKJ12" s="473"/>
      <c r="JKK12" s="473"/>
      <c r="JKL12" s="473"/>
      <c r="JKM12" s="473"/>
      <c r="JKN12" s="473"/>
      <c r="JKO12" s="473"/>
      <c r="JKP12" s="473"/>
      <c r="JKQ12" s="473"/>
      <c r="JKR12" s="473"/>
      <c r="JKS12" s="473"/>
      <c r="JKT12" s="473"/>
      <c r="JKU12" s="473"/>
      <c r="JKV12" s="473"/>
      <c r="JKW12" s="473"/>
      <c r="JKX12" s="473"/>
      <c r="JKY12" s="473"/>
      <c r="JKZ12" s="473"/>
      <c r="JLA12" s="473"/>
      <c r="JLB12" s="473"/>
      <c r="JLC12" s="473"/>
      <c r="JLD12" s="473"/>
      <c r="JLE12" s="473"/>
      <c r="JLF12" s="473"/>
      <c r="JLG12" s="473"/>
      <c r="JLH12" s="473"/>
      <c r="JLI12" s="473"/>
      <c r="JLJ12" s="473"/>
      <c r="JLK12" s="473"/>
      <c r="JLL12" s="473"/>
      <c r="JLM12" s="473"/>
      <c r="JLN12" s="473"/>
      <c r="JLO12" s="473"/>
      <c r="JLP12" s="473"/>
      <c r="JLQ12" s="473"/>
      <c r="JLR12" s="473"/>
      <c r="JLS12" s="473"/>
      <c r="JLT12" s="473"/>
      <c r="JLU12" s="473"/>
      <c r="JLV12" s="473"/>
      <c r="JLW12" s="473"/>
      <c r="JLX12" s="473"/>
      <c r="JLY12" s="473"/>
      <c r="JLZ12" s="473"/>
      <c r="JMA12" s="473"/>
      <c r="JMB12" s="473"/>
      <c r="JMC12" s="473"/>
      <c r="JMD12" s="473"/>
      <c r="JME12" s="473"/>
      <c r="JMF12" s="473"/>
      <c r="JMG12" s="473"/>
      <c r="JMH12" s="473"/>
      <c r="JMI12" s="473"/>
      <c r="JMJ12" s="473"/>
      <c r="JMK12" s="473"/>
      <c r="JML12" s="473"/>
      <c r="JMM12" s="473"/>
      <c r="JMN12" s="473"/>
      <c r="JMO12" s="473"/>
      <c r="JMP12" s="473"/>
      <c r="JMQ12" s="473"/>
      <c r="JMR12" s="473"/>
      <c r="JMS12" s="473"/>
      <c r="JMT12" s="473"/>
      <c r="JMU12" s="473"/>
      <c r="JMV12" s="473"/>
      <c r="JMW12" s="473"/>
      <c r="JMX12" s="473"/>
      <c r="JMY12" s="473"/>
      <c r="JMZ12" s="473"/>
      <c r="JNA12" s="473"/>
      <c r="JNB12" s="473"/>
      <c r="JNC12" s="473"/>
      <c r="JND12" s="473"/>
      <c r="JNE12" s="473"/>
      <c r="JNF12" s="473"/>
      <c r="JNG12" s="473"/>
      <c r="JNH12" s="473"/>
      <c r="JNI12" s="473"/>
      <c r="JNJ12" s="473"/>
      <c r="JNK12" s="473"/>
      <c r="JNL12" s="473"/>
      <c r="JNM12" s="473"/>
      <c r="JNN12" s="473"/>
      <c r="JNO12" s="473"/>
      <c r="JNP12" s="473"/>
      <c r="JNQ12" s="473"/>
      <c r="JNR12" s="473"/>
      <c r="JNS12" s="473"/>
      <c r="JNT12" s="473"/>
      <c r="JNU12" s="473"/>
      <c r="JNV12" s="473"/>
      <c r="JNW12" s="473"/>
      <c r="JNX12" s="473"/>
      <c r="JNY12" s="473"/>
      <c r="JNZ12" s="473"/>
      <c r="JOA12" s="473"/>
      <c r="JOB12" s="473"/>
      <c r="JOC12" s="473"/>
      <c r="JOD12" s="473"/>
      <c r="JOE12" s="473"/>
      <c r="JOF12" s="473"/>
      <c r="JOG12" s="473"/>
      <c r="JOH12" s="473"/>
      <c r="JOI12" s="473"/>
      <c r="JOJ12" s="473"/>
      <c r="JOK12" s="473"/>
      <c r="JOL12" s="473"/>
      <c r="JOM12" s="473"/>
      <c r="JON12" s="473"/>
      <c r="JOO12" s="473"/>
      <c r="JOP12" s="473"/>
      <c r="JOQ12" s="473"/>
      <c r="JOR12" s="473"/>
      <c r="JOS12" s="473"/>
      <c r="JOT12" s="473"/>
      <c r="JOU12" s="473"/>
      <c r="JOV12" s="473"/>
      <c r="JOW12" s="473"/>
      <c r="JOX12" s="473"/>
      <c r="JOY12" s="473"/>
      <c r="JOZ12" s="473"/>
      <c r="JPA12" s="473"/>
      <c r="JPB12" s="473"/>
      <c r="JPC12" s="473"/>
      <c r="JPD12" s="473"/>
      <c r="JPE12" s="473"/>
      <c r="JPF12" s="473"/>
      <c r="JPG12" s="473"/>
      <c r="JPH12" s="473"/>
      <c r="JPI12" s="473"/>
      <c r="JPJ12" s="473"/>
      <c r="JPK12" s="473"/>
      <c r="JPL12" s="473"/>
      <c r="JPM12" s="473"/>
      <c r="JPN12" s="473"/>
      <c r="JPO12" s="473"/>
      <c r="JPP12" s="473"/>
      <c r="JPQ12" s="473"/>
      <c r="JPR12" s="473"/>
      <c r="JPS12" s="473"/>
      <c r="JPT12" s="473"/>
      <c r="JPU12" s="473"/>
      <c r="JPV12" s="473"/>
      <c r="JPW12" s="473"/>
      <c r="JPX12" s="473"/>
      <c r="JPY12" s="473"/>
      <c r="JPZ12" s="473"/>
      <c r="JQA12" s="473"/>
      <c r="JQB12" s="473"/>
      <c r="JQC12" s="473"/>
      <c r="JQD12" s="473"/>
      <c r="JQE12" s="473"/>
      <c r="JQF12" s="473"/>
      <c r="JQG12" s="473"/>
      <c r="JQH12" s="473"/>
      <c r="JQI12" s="473"/>
      <c r="JQJ12" s="473"/>
      <c r="JQK12" s="473"/>
      <c r="JQL12" s="473"/>
      <c r="JQM12" s="473"/>
      <c r="JQN12" s="473"/>
      <c r="JQO12" s="473"/>
      <c r="JQP12" s="473"/>
      <c r="JQQ12" s="473"/>
      <c r="JQR12" s="473"/>
      <c r="JQS12" s="473"/>
      <c r="JQT12" s="473"/>
      <c r="JQU12" s="473"/>
      <c r="JQV12" s="473"/>
      <c r="JQW12" s="473"/>
      <c r="JQX12" s="473"/>
      <c r="JQY12" s="473"/>
      <c r="JQZ12" s="473"/>
      <c r="JRA12" s="473"/>
      <c r="JRB12" s="473"/>
      <c r="JRC12" s="473"/>
      <c r="JRD12" s="473"/>
      <c r="JRE12" s="473"/>
      <c r="JRF12" s="473"/>
      <c r="JRG12" s="473"/>
      <c r="JRH12" s="473"/>
      <c r="JRI12" s="473"/>
      <c r="JRJ12" s="473"/>
      <c r="JRK12" s="473"/>
      <c r="JRL12" s="473"/>
      <c r="JRM12" s="473"/>
      <c r="JRN12" s="473"/>
      <c r="JRO12" s="473"/>
      <c r="JRP12" s="473"/>
      <c r="JRQ12" s="473"/>
      <c r="JRR12" s="473"/>
      <c r="JRS12" s="473"/>
      <c r="JRT12" s="473"/>
      <c r="JRU12" s="473"/>
      <c r="JRV12" s="473"/>
      <c r="JRW12" s="473"/>
      <c r="JRX12" s="473"/>
      <c r="JRY12" s="473"/>
      <c r="JRZ12" s="473"/>
      <c r="JSA12" s="473"/>
      <c r="JSB12" s="473"/>
      <c r="JSC12" s="473"/>
      <c r="JSD12" s="473"/>
      <c r="JSE12" s="473"/>
      <c r="JSF12" s="473"/>
      <c r="JSG12" s="473"/>
      <c r="JSH12" s="473"/>
      <c r="JSI12" s="473"/>
      <c r="JSJ12" s="473"/>
      <c r="JSK12" s="473"/>
      <c r="JSL12" s="473"/>
      <c r="JSM12" s="473"/>
      <c r="JSN12" s="473"/>
      <c r="JSO12" s="473"/>
      <c r="JSP12" s="473"/>
      <c r="JSQ12" s="473"/>
      <c r="JSR12" s="473"/>
      <c r="JSS12" s="473"/>
      <c r="JST12" s="473"/>
      <c r="JSU12" s="473"/>
      <c r="JSV12" s="473"/>
      <c r="JSW12" s="473"/>
      <c r="JSX12" s="473"/>
      <c r="JSY12" s="473"/>
      <c r="JSZ12" s="473"/>
      <c r="JTA12" s="473"/>
      <c r="JTB12" s="473"/>
      <c r="JTC12" s="473"/>
      <c r="JTD12" s="473"/>
      <c r="JTE12" s="473"/>
      <c r="JTF12" s="473"/>
      <c r="JTG12" s="473"/>
      <c r="JTH12" s="473"/>
      <c r="JTI12" s="473"/>
      <c r="JTJ12" s="473"/>
      <c r="JTK12" s="473"/>
      <c r="JTL12" s="473"/>
      <c r="JTM12" s="473"/>
      <c r="JTN12" s="473"/>
      <c r="JTO12" s="473"/>
      <c r="JTP12" s="473"/>
      <c r="JTQ12" s="473"/>
      <c r="JTR12" s="473"/>
      <c r="JTS12" s="473"/>
      <c r="JTT12" s="473"/>
      <c r="JTU12" s="473"/>
      <c r="JTV12" s="473"/>
      <c r="JTW12" s="473"/>
      <c r="JTX12" s="473"/>
      <c r="JTY12" s="473"/>
      <c r="JTZ12" s="473"/>
      <c r="JUA12" s="473"/>
      <c r="JUB12" s="473"/>
      <c r="JUC12" s="473"/>
      <c r="JUD12" s="473"/>
      <c r="JUE12" s="473"/>
      <c r="JUF12" s="473"/>
      <c r="JUG12" s="473"/>
      <c r="JUH12" s="473"/>
      <c r="JUI12" s="473"/>
      <c r="JUJ12" s="473"/>
      <c r="JUK12" s="473"/>
      <c r="JUL12" s="473"/>
      <c r="JUM12" s="473"/>
      <c r="JUN12" s="473"/>
      <c r="JUO12" s="473"/>
      <c r="JUP12" s="473"/>
      <c r="JUQ12" s="473"/>
      <c r="JUR12" s="473"/>
      <c r="JUS12" s="473"/>
      <c r="JUT12" s="473"/>
      <c r="JUU12" s="473"/>
      <c r="JUV12" s="473"/>
      <c r="JUW12" s="473"/>
      <c r="JUX12" s="473"/>
      <c r="JUY12" s="473"/>
      <c r="JUZ12" s="473"/>
      <c r="JVA12" s="473"/>
      <c r="JVB12" s="473"/>
      <c r="JVC12" s="473"/>
      <c r="JVD12" s="473"/>
      <c r="JVE12" s="473"/>
      <c r="JVF12" s="473"/>
      <c r="JVG12" s="473"/>
      <c r="JVH12" s="473"/>
      <c r="JVI12" s="473"/>
      <c r="JVJ12" s="473"/>
      <c r="JVK12" s="473"/>
      <c r="JVL12" s="473"/>
      <c r="JVM12" s="473"/>
      <c r="JVN12" s="473"/>
      <c r="JVO12" s="473"/>
      <c r="JVP12" s="473"/>
      <c r="JVQ12" s="473"/>
      <c r="JVR12" s="473"/>
      <c r="JVS12" s="473"/>
      <c r="JVT12" s="473"/>
      <c r="JVU12" s="473"/>
      <c r="JVV12" s="473"/>
      <c r="JVW12" s="473"/>
      <c r="JVX12" s="473"/>
      <c r="JVY12" s="473"/>
      <c r="JVZ12" s="473"/>
      <c r="JWA12" s="473"/>
      <c r="JWB12" s="473"/>
      <c r="JWC12" s="473"/>
      <c r="JWD12" s="473"/>
      <c r="JWE12" s="473"/>
      <c r="JWF12" s="473"/>
      <c r="JWG12" s="473"/>
      <c r="JWH12" s="473"/>
      <c r="JWI12" s="473"/>
      <c r="JWJ12" s="473"/>
      <c r="JWK12" s="473"/>
      <c r="JWL12" s="473"/>
      <c r="JWM12" s="473"/>
      <c r="JWN12" s="473"/>
      <c r="JWO12" s="473"/>
      <c r="JWP12" s="473"/>
      <c r="JWQ12" s="473"/>
      <c r="JWR12" s="473"/>
      <c r="JWS12" s="473"/>
      <c r="JWT12" s="473"/>
      <c r="JWU12" s="473"/>
      <c r="JWV12" s="473"/>
      <c r="JWW12" s="473"/>
      <c r="JWX12" s="473"/>
      <c r="JWY12" s="473"/>
      <c r="JWZ12" s="473"/>
      <c r="JXA12" s="473"/>
      <c r="JXB12" s="473"/>
      <c r="JXC12" s="473"/>
      <c r="JXD12" s="473"/>
      <c r="JXE12" s="473"/>
      <c r="JXF12" s="473"/>
      <c r="JXG12" s="473"/>
      <c r="JXH12" s="473"/>
      <c r="JXI12" s="473"/>
      <c r="JXJ12" s="473"/>
      <c r="JXK12" s="473"/>
      <c r="JXL12" s="473"/>
      <c r="JXM12" s="473"/>
      <c r="JXN12" s="473"/>
      <c r="JXO12" s="473"/>
      <c r="JXP12" s="473"/>
      <c r="JXQ12" s="473"/>
      <c r="JXR12" s="473"/>
      <c r="JXS12" s="473"/>
      <c r="JXT12" s="473"/>
      <c r="JXU12" s="473"/>
      <c r="JXV12" s="473"/>
      <c r="JXW12" s="473"/>
      <c r="JXX12" s="473"/>
      <c r="JXY12" s="473"/>
      <c r="JXZ12" s="473"/>
      <c r="JYA12" s="473"/>
      <c r="JYB12" s="473"/>
      <c r="JYC12" s="473"/>
      <c r="JYD12" s="473"/>
      <c r="JYE12" s="473"/>
      <c r="JYF12" s="473"/>
      <c r="JYG12" s="473"/>
      <c r="JYH12" s="473"/>
      <c r="JYI12" s="473"/>
      <c r="JYJ12" s="473"/>
      <c r="JYK12" s="473"/>
      <c r="JYL12" s="473"/>
      <c r="JYM12" s="473"/>
      <c r="JYN12" s="473"/>
      <c r="JYO12" s="473"/>
      <c r="JYP12" s="473"/>
      <c r="JYQ12" s="473"/>
      <c r="JYR12" s="473"/>
      <c r="JYS12" s="473"/>
      <c r="JYT12" s="473"/>
      <c r="JYU12" s="473"/>
      <c r="JYV12" s="473"/>
      <c r="JYW12" s="473"/>
      <c r="JYX12" s="473"/>
      <c r="JYY12" s="473"/>
      <c r="JYZ12" s="473"/>
      <c r="JZA12" s="473"/>
      <c r="JZB12" s="473"/>
      <c r="JZC12" s="473"/>
      <c r="JZD12" s="473"/>
      <c r="JZE12" s="473"/>
      <c r="JZF12" s="473"/>
      <c r="JZG12" s="473"/>
      <c r="JZH12" s="473"/>
      <c r="JZI12" s="473"/>
      <c r="JZJ12" s="473"/>
      <c r="JZK12" s="473"/>
      <c r="JZL12" s="473"/>
      <c r="JZM12" s="473"/>
      <c r="JZN12" s="473"/>
      <c r="JZO12" s="473"/>
      <c r="JZP12" s="473"/>
      <c r="JZQ12" s="473"/>
      <c r="JZR12" s="473"/>
      <c r="JZS12" s="473"/>
      <c r="JZT12" s="473"/>
      <c r="JZU12" s="473"/>
      <c r="JZV12" s="473"/>
      <c r="JZW12" s="473"/>
      <c r="JZX12" s="473"/>
      <c r="JZY12" s="473"/>
      <c r="JZZ12" s="473"/>
      <c r="KAA12" s="473"/>
      <c r="KAB12" s="473"/>
      <c r="KAC12" s="473"/>
      <c r="KAD12" s="473"/>
      <c r="KAE12" s="473"/>
      <c r="KAF12" s="473"/>
      <c r="KAG12" s="473"/>
      <c r="KAH12" s="473"/>
      <c r="KAI12" s="473"/>
      <c r="KAJ12" s="473"/>
      <c r="KAK12" s="473"/>
      <c r="KAL12" s="473"/>
      <c r="KAM12" s="473"/>
      <c r="KAN12" s="473"/>
      <c r="KAO12" s="473"/>
      <c r="KAP12" s="473"/>
      <c r="KAQ12" s="473"/>
      <c r="KAR12" s="473"/>
      <c r="KAS12" s="473"/>
      <c r="KAT12" s="473"/>
      <c r="KAU12" s="473"/>
      <c r="KAV12" s="473"/>
      <c r="KAW12" s="473"/>
      <c r="KAX12" s="473"/>
      <c r="KAY12" s="473"/>
      <c r="KAZ12" s="473"/>
      <c r="KBA12" s="473"/>
      <c r="KBB12" s="473"/>
      <c r="KBC12" s="473"/>
      <c r="KBD12" s="473"/>
      <c r="KBE12" s="473"/>
      <c r="KBF12" s="473"/>
      <c r="KBG12" s="473"/>
      <c r="KBH12" s="473"/>
      <c r="KBI12" s="473"/>
      <c r="KBJ12" s="473"/>
      <c r="KBK12" s="473"/>
      <c r="KBL12" s="473"/>
      <c r="KBM12" s="473"/>
      <c r="KBN12" s="473"/>
      <c r="KBO12" s="473"/>
      <c r="KBP12" s="473"/>
      <c r="KBQ12" s="473"/>
      <c r="KBR12" s="473"/>
      <c r="KBS12" s="473"/>
      <c r="KBT12" s="473"/>
      <c r="KBU12" s="473"/>
      <c r="KBV12" s="473"/>
      <c r="KBW12" s="473"/>
      <c r="KBX12" s="473"/>
      <c r="KBY12" s="473"/>
      <c r="KBZ12" s="473"/>
      <c r="KCA12" s="473"/>
      <c r="KCB12" s="473"/>
      <c r="KCC12" s="473"/>
      <c r="KCD12" s="473"/>
      <c r="KCE12" s="473"/>
      <c r="KCF12" s="473"/>
      <c r="KCG12" s="473"/>
      <c r="KCH12" s="473"/>
      <c r="KCI12" s="473"/>
      <c r="KCJ12" s="473"/>
      <c r="KCK12" s="473"/>
      <c r="KCL12" s="473"/>
      <c r="KCM12" s="473"/>
      <c r="KCN12" s="473"/>
      <c r="KCO12" s="473"/>
      <c r="KCP12" s="473"/>
      <c r="KCQ12" s="473"/>
      <c r="KCR12" s="473"/>
      <c r="KCS12" s="473"/>
      <c r="KCT12" s="473"/>
      <c r="KCU12" s="473"/>
      <c r="KCV12" s="473"/>
      <c r="KCW12" s="473"/>
      <c r="KCX12" s="473"/>
      <c r="KCY12" s="473"/>
      <c r="KCZ12" s="473"/>
      <c r="KDA12" s="473"/>
      <c r="KDB12" s="473"/>
      <c r="KDC12" s="473"/>
      <c r="KDD12" s="473"/>
      <c r="KDE12" s="473"/>
      <c r="KDF12" s="473"/>
      <c r="KDG12" s="473"/>
      <c r="KDH12" s="473"/>
      <c r="KDI12" s="473"/>
      <c r="KDJ12" s="473"/>
      <c r="KDK12" s="473"/>
      <c r="KDL12" s="473"/>
      <c r="KDM12" s="473"/>
      <c r="KDN12" s="473"/>
      <c r="KDO12" s="473"/>
      <c r="KDP12" s="473"/>
      <c r="KDQ12" s="473"/>
      <c r="KDR12" s="473"/>
      <c r="KDS12" s="473"/>
      <c r="KDT12" s="473"/>
      <c r="KDU12" s="473"/>
      <c r="KDV12" s="473"/>
      <c r="KDW12" s="473"/>
      <c r="KDX12" s="473"/>
      <c r="KDY12" s="473"/>
      <c r="KDZ12" s="473"/>
      <c r="KEA12" s="473"/>
      <c r="KEB12" s="473"/>
      <c r="KEC12" s="473"/>
      <c r="KED12" s="473"/>
      <c r="KEE12" s="473"/>
      <c r="KEF12" s="473"/>
      <c r="KEG12" s="473"/>
      <c r="KEH12" s="473"/>
      <c r="KEI12" s="473"/>
      <c r="KEJ12" s="473"/>
      <c r="KEK12" s="473"/>
      <c r="KEL12" s="473"/>
      <c r="KEM12" s="473"/>
      <c r="KEN12" s="473"/>
      <c r="KEO12" s="473"/>
      <c r="KEP12" s="473"/>
      <c r="KEQ12" s="473"/>
      <c r="KER12" s="473"/>
      <c r="KES12" s="473"/>
      <c r="KET12" s="473"/>
      <c r="KEU12" s="473"/>
      <c r="KEV12" s="473"/>
      <c r="KEW12" s="473"/>
      <c r="KEX12" s="473"/>
      <c r="KEY12" s="473"/>
      <c r="KEZ12" s="473"/>
      <c r="KFA12" s="473"/>
      <c r="KFB12" s="473"/>
      <c r="KFC12" s="473"/>
      <c r="KFD12" s="473"/>
      <c r="KFE12" s="473"/>
      <c r="KFF12" s="473"/>
      <c r="KFG12" s="473"/>
      <c r="KFH12" s="473"/>
      <c r="KFI12" s="473"/>
      <c r="KFJ12" s="473"/>
      <c r="KFK12" s="473"/>
      <c r="KFL12" s="473"/>
      <c r="KFM12" s="473"/>
      <c r="KFN12" s="473"/>
      <c r="KFO12" s="473"/>
      <c r="KFP12" s="473"/>
      <c r="KFQ12" s="473"/>
      <c r="KFR12" s="473"/>
      <c r="KFS12" s="473"/>
      <c r="KFT12" s="473"/>
      <c r="KFU12" s="473"/>
      <c r="KFV12" s="473"/>
      <c r="KFW12" s="473"/>
      <c r="KFX12" s="473"/>
      <c r="KFY12" s="473"/>
      <c r="KFZ12" s="473"/>
      <c r="KGA12" s="473"/>
      <c r="KGB12" s="473"/>
      <c r="KGC12" s="473"/>
      <c r="KGD12" s="473"/>
      <c r="KGE12" s="473"/>
      <c r="KGF12" s="473"/>
      <c r="KGG12" s="473"/>
      <c r="KGH12" s="473"/>
      <c r="KGI12" s="473"/>
      <c r="KGJ12" s="473"/>
      <c r="KGK12" s="473"/>
      <c r="KGL12" s="473"/>
      <c r="KGM12" s="473"/>
      <c r="KGN12" s="473"/>
      <c r="KGO12" s="473"/>
      <c r="KGP12" s="473"/>
      <c r="KGQ12" s="473"/>
      <c r="KGR12" s="473"/>
      <c r="KGS12" s="473"/>
      <c r="KGT12" s="473"/>
      <c r="KGU12" s="473"/>
      <c r="KGV12" s="473"/>
      <c r="KGW12" s="473"/>
      <c r="KGX12" s="473"/>
      <c r="KGY12" s="473"/>
      <c r="KGZ12" s="473"/>
      <c r="KHA12" s="473"/>
      <c r="KHB12" s="473"/>
      <c r="KHC12" s="473"/>
      <c r="KHD12" s="473"/>
      <c r="KHE12" s="473"/>
      <c r="KHF12" s="473"/>
      <c r="KHG12" s="473"/>
      <c r="KHH12" s="473"/>
      <c r="KHI12" s="473"/>
      <c r="KHJ12" s="473"/>
      <c r="KHK12" s="473"/>
      <c r="KHL12" s="473"/>
      <c r="KHM12" s="473"/>
      <c r="KHN12" s="473"/>
      <c r="KHO12" s="473"/>
      <c r="KHP12" s="473"/>
      <c r="KHQ12" s="473"/>
      <c r="KHR12" s="473"/>
      <c r="KHS12" s="473"/>
      <c r="KHT12" s="473"/>
      <c r="KHU12" s="473"/>
      <c r="KHV12" s="473"/>
      <c r="KHW12" s="473"/>
      <c r="KHX12" s="473"/>
      <c r="KHY12" s="473"/>
      <c r="KHZ12" s="473"/>
      <c r="KIA12" s="473"/>
      <c r="KIB12" s="473"/>
      <c r="KIC12" s="473"/>
      <c r="KID12" s="473"/>
      <c r="KIE12" s="473"/>
      <c r="KIF12" s="473"/>
      <c r="KIG12" s="473"/>
      <c r="KIH12" s="473"/>
      <c r="KII12" s="473"/>
      <c r="KIJ12" s="473"/>
      <c r="KIK12" s="473"/>
      <c r="KIL12" s="473"/>
      <c r="KIM12" s="473"/>
      <c r="KIN12" s="473"/>
      <c r="KIO12" s="473"/>
      <c r="KIP12" s="473"/>
      <c r="KIQ12" s="473"/>
      <c r="KIR12" s="473"/>
      <c r="KIS12" s="473"/>
      <c r="KIT12" s="473"/>
      <c r="KIU12" s="473"/>
      <c r="KIV12" s="473"/>
      <c r="KIW12" s="473"/>
      <c r="KIX12" s="473"/>
      <c r="KIY12" s="473"/>
      <c r="KIZ12" s="473"/>
      <c r="KJA12" s="473"/>
      <c r="KJB12" s="473"/>
      <c r="KJC12" s="473"/>
      <c r="KJD12" s="473"/>
      <c r="KJE12" s="473"/>
      <c r="KJF12" s="473"/>
      <c r="KJG12" s="473"/>
      <c r="KJH12" s="473"/>
      <c r="KJI12" s="473"/>
      <c r="KJJ12" s="473"/>
      <c r="KJK12" s="473"/>
      <c r="KJL12" s="473"/>
      <c r="KJM12" s="473"/>
      <c r="KJN12" s="473"/>
      <c r="KJO12" s="473"/>
      <c r="KJP12" s="473"/>
      <c r="KJQ12" s="473"/>
      <c r="KJR12" s="473"/>
      <c r="KJS12" s="473"/>
      <c r="KJT12" s="473"/>
      <c r="KJU12" s="473"/>
      <c r="KJV12" s="473"/>
      <c r="KJW12" s="473"/>
      <c r="KJX12" s="473"/>
      <c r="KJY12" s="473"/>
      <c r="KJZ12" s="473"/>
      <c r="KKA12" s="473"/>
      <c r="KKB12" s="473"/>
      <c r="KKC12" s="473"/>
      <c r="KKD12" s="473"/>
      <c r="KKE12" s="473"/>
      <c r="KKF12" s="473"/>
      <c r="KKG12" s="473"/>
      <c r="KKH12" s="473"/>
      <c r="KKI12" s="473"/>
      <c r="KKJ12" s="473"/>
      <c r="KKK12" s="473"/>
      <c r="KKL12" s="473"/>
      <c r="KKM12" s="473"/>
      <c r="KKN12" s="473"/>
      <c r="KKO12" s="473"/>
      <c r="KKP12" s="473"/>
      <c r="KKQ12" s="473"/>
      <c r="KKR12" s="473"/>
      <c r="KKS12" s="473"/>
      <c r="KKT12" s="473"/>
      <c r="KKU12" s="473"/>
      <c r="KKV12" s="473"/>
      <c r="KKW12" s="473"/>
      <c r="KKX12" s="473"/>
      <c r="KKY12" s="473"/>
      <c r="KKZ12" s="473"/>
      <c r="KLA12" s="473"/>
      <c r="KLB12" s="473"/>
      <c r="KLC12" s="473"/>
      <c r="KLD12" s="473"/>
      <c r="KLE12" s="473"/>
      <c r="KLF12" s="473"/>
      <c r="KLG12" s="473"/>
      <c r="KLH12" s="473"/>
      <c r="KLI12" s="473"/>
      <c r="KLJ12" s="473"/>
      <c r="KLK12" s="473"/>
      <c r="KLL12" s="473"/>
      <c r="KLM12" s="473"/>
      <c r="KLN12" s="473"/>
      <c r="KLO12" s="473"/>
      <c r="KLP12" s="473"/>
      <c r="KLQ12" s="473"/>
      <c r="KLR12" s="473"/>
      <c r="KLS12" s="473"/>
      <c r="KLT12" s="473"/>
      <c r="KLU12" s="473"/>
      <c r="KLV12" s="473"/>
      <c r="KLW12" s="473"/>
      <c r="KLX12" s="473"/>
      <c r="KLY12" s="473"/>
      <c r="KLZ12" s="473"/>
      <c r="KMA12" s="473"/>
      <c r="KMB12" s="473"/>
      <c r="KMC12" s="473"/>
      <c r="KMD12" s="473"/>
      <c r="KME12" s="473"/>
      <c r="KMF12" s="473"/>
      <c r="KMG12" s="473"/>
      <c r="KMH12" s="473"/>
      <c r="KMI12" s="473"/>
      <c r="KMJ12" s="473"/>
      <c r="KMK12" s="473"/>
      <c r="KML12" s="473"/>
      <c r="KMM12" s="473"/>
      <c r="KMN12" s="473"/>
      <c r="KMO12" s="473"/>
      <c r="KMP12" s="473"/>
      <c r="KMQ12" s="473"/>
      <c r="KMR12" s="473"/>
      <c r="KMS12" s="473"/>
      <c r="KMT12" s="473"/>
      <c r="KMU12" s="473"/>
      <c r="KMV12" s="473"/>
      <c r="KMW12" s="473"/>
      <c r="KMX12" s="473"/>
      <c r="KMY12" s="473"/>
      <c r="KMZ12" s="473"/>
      <c r="KNA12" s="473"/>
      <c r="KNB12" s="473"/>
      <c r="KNC12" s="473"/>
      <c r="KND12" s="473"/>
      <c r="KNE12" s="473"/>
      <c r="KNF12" s="473"/>
      <c r="KNG12" s="473"/>
      <c r="KNH12" s="473"/>
      <c r="KNI12" s="473"/>
      <c r="KNJ12" s="473"/>
      <c r="KNK12" s="473"/>
      <c r="KNL12" s="473"/>
      <c r="KNM12" s="473"/>
      <c r="KNN12" s="473"/>
      <c r="KNO12" s="473"/>
      <c r="KNP12" s="473"/>
      <c r="KNQ12" s="473"/>
      <c r="KNR12" s="473"/>
      <c r="KNS12" s="473"/>
      <c r="KNT12" s="473"/>
      <c r="KNU12" s="473"/>
      <c r="KNV12" s="473"/>
      <c r="KNW12" s="473"/>
      <c r="KNX12" s="473"/>
      <c r="KNY12" s="473"/>
      <c r="KNZ12" s="473"/>
      <c r="KOA12" s="473"/>
      <c r="KOB12" s="473"/>
      <c r="KOC12" s="473"/>
      <c r="KOD12" s="473"/>
      <c r="KOE12" s="473"/>
      <c r="KOF12" s="473"/>
      <c r="KOG12" s="473"/>
      <c r="KOH12" s="473"/>
      <c r="KOI12" s="473"/>
      <c r="KOJ12" s="473"/>
      <c r="KOK12" s="473"/>
      <c r="KOL12" s="473"/>
      <c r="KOM12" s="473"/>
      <c r="KON12" s="473"/>
      <c r="KOO12" s="473"/>
      <c r="KOP12" s="473"/>
      <c r="KOQ12" s="473"/>
      <c r="KOR12" s="473"/>
      <c r="KOS12" s="473"/>
      <c r="KOT12" s="473"/>
      <c r="KOU12" s="473"/>
      <c r="KOV12" s="473"/>
      <c r="KOW12" s="473"/>
      <c r="KOX12" s="473"/>
      <c r="KOY12" s="473"/>
      <c r="KOZ12" s="473"/>
      <c r="KPA12" s="473"/>
      <c r="KPB12" s="473"/>
      <c r="KPC12" s="473"/>
      <c r="KPD12" s="473"/>
      <c r="KPE12" s="473"/>
      <c r="KPF12" s="473"/>
      <c r="KPG12" s="473"/>
      <c r="KPH12" s="473"/>
      <c r="KPI12" s="473"/>
      <c r="KPJ12" s="473"/>
      <c r="KPK12" s="473"/>
      <c r="KPL12" s="473"/>
      <c r="KPM12" s="473"/>
      <c r="KPN12" s="473"/>
      <c r="KPO12" s="473"/>
      <c r="KPP12" s="473"/>
      <c r="KPQ12" s="473"/>
      <c r="KPR12" s="473"/>
      <c r="KPS12" s="473"/>
      <c r="KPT12" s="473"/>
      <c r="KPU12" s="473"/>
      <c r="KPV12" s="473"/>
      <c r="KPW12" s="473"/>
      <c r="KPX12" s="473"/>
      <c r="KPY12" s="473"/>
      <c r="KPZ12" s="473"/>
      <c r="KQA12" s="473"/>
      <c r="KQB12" s="473"/>
      <c r="KQC12" s="473"/>
      <c r="KQD12" s="473"/>
      <c r="KQE12" s="473"/>
      <c r="KQF12" s="473"/>
      <c r="KQG12" s="473"/>
      <c r="KQH12" s="473"/>
      <c r="KQI12" s="473"/>
      <c r="KQJ12" s="473"/>
      <c r="KQK12" s="473"/>
      <c r="KQL12" s="473"/>
      <c r="KQM12" s="473"/>
      <c r="KQN12" s="473"/>
      <c r="KQO12" s="473"/>
      <c r="KQP12" s="473"/>
      <c r="KQQ12" s="473"/>
      <c r="KQR12" s="473"/>
      <c r="KQS12" s="473"/>
      <c r="KQT12" s="473"/>
      <c r="KQU12" s="473"/>
      <c r="KQV12" s="473"/>
      <c r="KQW12" s="473"/>
      <c r="KQX12" s="473"/>
      <c r="KQY12" s="473"/>
      <c r="KQZ12" s="473"/>
      <c r="KRA12" s="473"/>
      <c r="KRB12" s="473"/>
      <c r="KRC12" s="473"/>
      <c r="KRD12" s="473"/>
      <c r="KRE12" s="473"/>
      <c r="KRF12" s="473"/>
      <c r="KRG12" s="473"/>
      <c r="KRH12" s="473"/>
      <c r="KRI12" s="473"/>
      <c r="KRJ12" s="473"/>
      <c r="KRK12" s="473"/>
      <c r="KRL12" s="473"/>
      <c r="KRM12" s="473"/>
      <c r="KRN12" s="473"/>
      <c r="KRO12" s="473"/>
      <c r="KRP12" s="473"/>
      <c r="KRQ12" s="473"/>
      <c r="KRR12" s="473"/>
      <c r="KRS12" s="473"/>
      <c r="KRT12" s="473"/>
      <c r="KRU12" s="473"/>
      <c r="KRV12" s="473"/>
      <c r="KRW12" s="473"/>
      <c r="KRX12" s="473"/>
      <c r="KRY12" s="473"/>
      <c r="KRZ12" s="473"/>
      <c r="KSA12" s="473"/>
      <c r="KSB12" s="473"/>
      <c r="KSC12" s="473"/>
      <c r="KSD12" s="473"/>
      <c r="KSE12" s="473"/>
      <c r="KSF12" s="473"/>
      <c r="KSG12" s="473"/>
      <c r="KSH12" s="473"/>
      <c r="KSI12" s="473"/>
      <c r="KSJ12" s="473"/>
      <c r="KSK12" s="473"/>
      <c r="KSL12" s="473"/>
      <c r="KSM12" s="473"/>
      <c r="KSN12" s="473"/>
      <c r="KSO12" s="473"/>
      <c r="KSP12" s="473"/>
      <c r="KSQ12" s="473"/>
      <c r="KSR12" s="473"/>
      <c r="KSS12" s="473"/>
      <c r="KST12" s="473"/>
      <c r="KSU12" s="473"/>
      <c r="KSV12" s="473"/>
      <c r="KSW12" s="473"/>
      <c r="KSX12" s="473"/>
      <c r="KSY12" s="473"/>
      <c r="KSZ12" s="473"/>
      <c r="KTA12" s="473"/>
      <c r="KTB12" s="473"/>
      <c r="KTC12" s="473"/>
      <c r="KTD12" s="473"/>
      <c r="KTE12" s="473"/>
      <c r="KTF12" s="473"/>
      <c r="KTG12" s="473"/>
      <c r="KTH12" s="473"/>
      <c r="KTI12" s="473"/>
      <c r="KTJ12" s="473"/>
      <c r="KTK12" s="473"/>
      <c r="KTL12" s="473"/>
      <c r="KTM12" s="473"/>
      <c r="KTN12" s="473"/>
      <c r="KTO12" s="473"/>
      <c r="KTP12" s="473"/>
      <c r="KTQ12" s="473"/>
      <c r="KTR12" s="473"/>
      <c r="KTS12" s="473"/>
      <c r="KTT12" s="473"/>
      <c r="KTU12" s="473"/>
      <c r="KTV12" s="473"/>
      <c r="KTW12" s="473"/>
      <c r="KTX12" s="473"/>
      <c r="KTY12" s="473"/>
      <c r="KTZ12" s="473"/>
      <c r="KUA12" s="473"/>
      <c r="KUB12" s="473"/>
      <c r="KUC12" s="473"/>
      <c r="KUD12" s="473"/>
      <c r="KUE12" s="473"/>
      <c r="KUF12" s="473"/>
      <c r="KUG12" s="473"/>
      <c r="KUH12" s="473"/>
      <c r="KUI12" s="473"/>
      <c r="KUJ12" s="473"/>
      <c r="KUK12" s="473"/>
      <c r="KUL12" s="473"/>
      <c r="KUM12" s="473"/>
      <c r="KUN12" s="473"/>
      <c r="KUO12" s="473"/>
      <c r="KUP12" s="473"/>
      <c r="KUQ12" s="473"/>
      <c r="KUR12" s="473"/>
      <c r="KUS12" s="473"/>
      <c r="KUT12" s="473"/>
      <c r="KUU12" s="473"/>
      <c r="KUV12" s="473"/>
      <c r="KUW12" s="473"/>
      <c r="KUX12" s="473"/>
      <c r="KUY12" s="473"/>
      <c r="KUZ12" s="473"/>
      <c r="KVA12" s="473"/>
      <c r="KVB12" s="473"/>
      <c r="KVC12" s="473"/>
      <c r="KVD12" s="473"/>
      <c r="KVE12" s="473"/>
      <c r="KVF12" s="473"/>
      <c r="KVG12" s="473"/>
      <c r="KVH12" s="473"/>
      <c r="KVI12" s="473"/>
      <c r="KVJ12" s="473"/>
      <c r="KVK12" s="473"/>
      <c r="KVL12" s="473"/>
      <c r="KVM12" s="473"/>
      <c r="KVN12" s="473"/>
      <c r="KVO12" s="473"/>
      <c r="KVP12" s="473"/>
      <c r="KVQ12" s="473"/>
      <c r="KVR12" s="473"/>
      <c r="KVS12" s="473"/>
      <c r="KVT12" s="473"/>
      <c r="KVU12" s="473"/>
      <c r="KVV12" s="473"/>
      <c r="KVW12" s="473"/>
      <c r="KVX12" s="473"/>
      <c r="KVY12" s="473"/>
      <c r="KVZ12" s="473"/>
      <c r="KWA12" s="473"/>
      <c r="KWB12" s="473"/>
      <c r="KWC12" s="473"/>
      <c r="KWD12" s="473"/>
      <c r="KWE12" s="473"/>
      <c r="KWF12" s="473"/>
      <c r="KWG12" s="473"/>
      <c r="KWH12" s="473"/>
      <c r="KWI12" s="473"/>
      <c r="KWJ12" s="473"/>
      <c r="KWK12" s="473"/>
      <c r="KWL12" s="473"/>
      <c r="KWM12" s="473"/>
      <c r="KWN12" s="473"/>
      <c r="KWO12" s="473"/>
      <c r="KWP12" s="473"/>
      <c r="KWQ12" s="473"/>
      <c r="KWR12" s="473"/>
      <c r="KWS12" s="473"/>
      <c r="KWT12" s="473"/>
      <c r="KWU12" s="473"/>
      <c r="KWV12" s="473"/>
      <c r="KWW12" s="473"/>
      <c r="KWX12" s="473"/>
      <c r="KWY12" s="473"/>
      <c r="KWZ12" s="473"/>
      <c r="KXA12" s="473"/>
      <c r="KXB12" s="473"/>
      <c r="KXC12" s="473"/>
      <c r="KXD12" s="473"/>
      <c r="KXE12" s="473"/>
      <c r="KXF12" s="473"/>
      <c r="KXG12" s="473"/>
      <c r="KXH12" s="473"/>
      <c r="KXI12" s="473"/>
      <c r="KXJ12" s="473"/>
      <c r="KXK12" s="473"/>
      <c r="KXL12" s="473"/>
      <c r="KXM12" s="473"/>
      <c r="KXN12" s="473"/>
      <c r="KXO12" s="473"/>
      <c r="KXP12" s="473"/>
      <c r="KXQ12" s="473"/>
      <c r="KXR12" s="473"/>
      <c r="KXS12" s="473"/>
      <c r="KXT12" s="473"/>
      <c r="KXU12" s="473"/>
      <c r="KXV12" s="473"/>
      <c r="KXW12" s="473"/>
      <c r="KXX12" s="473"/>
      <c r="KXY12" s="473"/>
      <c r="KXZ12" s="473"/>
      <c r="KYA12" s="473"/>
      <c r="KYB12" s="473"/>
      <c r="KYC12" s="473"/>
      <c r="KYD12" s="473"/>
      <c r="KYE12" s="473"/>
      <c r="KYF12" s="473"/>
      <c r="KYG12" s="473"/>
      <c r="KYH12" s="473"/>
      <c r="KYI12" s="473"/>
      <c r="KYJ12" s="473"/>
      <c r="KYK12" s="473"/>
      <c r="KYL12" s="473"/>
      <c r="KYM12" s="473"/>
      <c r="KYN12" s="473"/>
      <c r="KYO12" s="473"/>
      <c r="KYP12" s="473"/>
      <c r="KYQ12" s="473"/>
      <c r="KYR12" s="473"/>
      <c r="KYS12" s="473"/>
      <c r="KYT12" s="473"/>
      <c r="KYU12" s="473"/>
      <c r="KYV12" s="473"/>
      <c r="KYW12" s="473"/>
      <c r="KYX12" s="473"/>
      <c r="KYY12" s="473"/>
      <c r="KYZ12" s="473"/>
      <c r="KZA12" s="473"/>
      <c r="KZB12" s="473"/>
      <c r="KZC12" s="473"/>
      <c r="KZD12" s="473"/>
      <c r="KZE12" s="473"/>
      <c r="KZF12" s="473"/>
      <c r="KZG12" s="473"/>
      <c r="KZH12" s="473"/>
      <c r="KZI12" s="473"/>
      <c r="KZJ12" s="473"/>
      <c r="KZK12" s="473"/>
      <c r="KZL12" s="473"/>
      <c r="KZM12" s="473"/>
      <c r="KZN12" s="473"/>
      <c r="KZO12" s="473"/>
      <c r="KZP12" s="473"/>
      <c r="KZQ12" s="473"/>
      <c r="KZR12" s="473"/>
      <c r="KZS12" s="473"/>
      <c r="KZT12" s="473"/>
      <c r="KZU12" s="473"/>
      <c r="KZV12" s="473"/>
      <c r="KZW12" s="473"/>
      <c r="KZX12" s="473"/>
      <c r="KZY12" s="473"/>
      <c r="KZZ12" s="473"/>
      <c r="LAA12" s="473"/>
      <c r="LAB12" s="473"/>
      <c r="LAC12" s="473"/>
      <c r="LAD12" s="473"/>
      <c r="LAE12" s="473"/>
      <c r="LAF12" s="473"/>
      <c r="LAG12" s="473"/>
      <c r="LAH12" s="473"/>
      <c r="LAI12" s="473"/>
      <c r="LAJ12" s="473"/>
      <c r="LAK12" s="473"/>
      <c r="LAL12" s="473"/>
      <c r="LAM12" s="473"/>
      <c r="LAN12" s="473"/>
      <c r="LAO12" s="473"/>
      <c r="LAP12" s="473"/>
      <c r="LAQ12" s="473"/>
      <c r="LAR12" s="473"/>
      <c r="LAS12" s="473"/>
      <c r="LAT12" s="473"/>
      <c r="LAU12" s="473"/>
      <c r="LAV12" s="473"/>
      <c r="LAW12" s="473"/>
      <c r="LAX12" s="473"/>
      <c r="LAY12" s="473"/>
      <c r="LAZ12" s="473"/>
      <c r="LBA12" s="473"/>
      <c r="LBB12" s="473"/>
      <c r="LBC12" s="473"/>
      <c r="LBD12" s="473"/>
      <c r="LBE12" s="473"/>
      <c r="LBF12" s="473"/>
      <c r="LBG12" s="473"/>
      <c r="LBH12" s="473"/>
      <c r="LBI12" s="473"/>
      <c r="LBJ12" s="473"/>
      <c r="LBK12" s="473"/>
      <c r="LBL12" s="473"/>
      <c r="LBM12" s="473"/>
      <c r="LBN12" s="473"/>
      <c r="LBO12" s="473"/>
      <c r="LBP12" s="473"/>
      <c r="LBQ12" s="473"/>
      <c r="LBR12" s="473"/>
      <c r="LBS12" s="473"/>
      <c r="LBT12" s="473"/>
      <c r="LBU12" s="473"/>
      <c r="LBV12" s="473"/>
      <c r="LBW12" s="473"/>
      <c r="LBX12" s="473"/>
      <c r="LBY12" s="473"/>
      <c r="LBZ12" s="473"/>
      <c r="LCA12" s="473"/>
      <c r="LCB12" s="473"/>
      <c r="LCC12" s="473"/>
      <c r="LCD12" s="473"/>
      <c r="LCE12" s="473"/>
      <c r="LCF12" s="473"/>
      <c r="LCG12" s="473"/>
      <c r="LCH12" s="473"/>
      <c r="LCI12" s="473"/>
      <c r="LCJ12" s="473"/>
      <c r="LCK12" s="473"/>
      <c r="LCL12" s="473"/>
      <c r="LCM12" s="473"/>
      <c r="LCN12" s="473"/>
      <c r="LCO12" s="473"/>
      <c r="LCP12" s="473"/>
      <c r="LCQ12" s="473"/>
      <c r="LCR12" s="473"/>
      <c r="LCS12" s="473"/>
      <c r="LCT12" s="473"/>
      <c r="LCU12" s="473"/>
      <c r="LCV12" s="473"/>
      <c r="LCW12" s="473"/>
      <c r="LCX12" s="473"/>
      <c r="LCY12" s="473"/>
      <c r="LCZ12" s="473"/>
      <c r="LDA12" s="473"/>
      <c r="LDB12" s="473"/>
      <c r="LDC12" s="473"/>
      <c r="LDD12" s="473"/>
      <c r="LDE12" s="473"/>
      <c r="LDF12" s="473"/>
      <c r="LDG12" s="473"/>
      <c r="LDH12" s="473"/>
      <c r="LDI12" s="473"/>
      <c r="LDJ12" s="473"/>
      <c r="LDK12" s="473"/>
      <c r="LDL12" s="473"/>
      <c r="LDM12" s="473"/>
      <c r="LDN12" s="473"/>
      <c r="LDO12" s="473"/>
      <c r="LDP12" s="473"/>
      <c r="LDQ12" s="473"/>
      <c r="LDR12" s="473"/>
      <c r="LDS12" s="473"/>
      <c r="LDT12" s="473"/>
      <c r="LDU12" s="473"/>
      <c r="LDV12" s="473"/>
      <c r="LDW12" s="473"/>
      <c r="LDX12" s="473"/>
      <c r="LDY12" s="473"/>
      <c r="LDZ12" s="473"/>
      <c r="LEA12" s="473"/>
      <c r="LEB12" s="473"/>
      <c r="LEC12" s="473"/>
      <c r="LED12" s="473"/>
      <c r="LEE12" s="473"/>
      <c r="LEF12" s="473"/>
      <c r="LEG12" s="473"/>
      <c r="LEH12" s="473"/>
      <c r="LEI12" s="473"/>
      <c r="LEJ12" s="473"/>
      <c r="LEK12" s="473"/>
      <c r="LEL12" s="473"/>
      <c r="LEM12" s="473"/>
      <c r="LEN12" s="473"/>
      <c r="LEO12" s="473"/>
      <c r="LEP12" s="473"/>
      <c r="LEQ12" s="473"/>
      <c r="LER12" s="473"/>
      <c r="LES12" s="473"/>
      <c r="LET12" s="473"/>
      <c r="LEU12" s="473"/>
      <c r="LEV12" s="473"/>
      <c r="LEW12" s="473"/>
      <c r="LEX12" s="473"/>
      <c r="LEY12" s="473"/>
      <c r="LEZ12" s="473"/>
      <c r="LFA12" s="473"/>
      <c r="LFB12" s="473"/>
      <c r="LFC12" s="473"/>
      <c r="LFD12" s="473"/>
      <c r="LFE12" s="473"/>
      <c r="LFF12" s="473"/>
      <c r="LFG12" s="473"/>
      <c r="LFH12" s="473"/>
      <c r="LFI12" s="473"/>
      <c r="LFJ12" s="473"/>
      <c r="LFK12" s="473"/>
      <c r="LFL12" s="473"/>
      <c r="LFM12" s="473"/>
      <c r="LFN12" s="473"/>
      <c r="LFO12" s="473"/>
      <c r="LFP12" s="473"/>
      <c r="LFQ12" s="473"/>
      <c r="LFR12" s="473"/>
      <c r="LFS12" s="473"/>
      <c r="LFT12" s="473"/>
      <c r="LFU12" s="473"/>
      <c r="LFV12" s="473"/>
      <c r="LFW12" s="473"/>
      <c r="LFX12" s="473"/>
      <c r="LFY12" s="473"/>
      <c r="LFZ12" s="473"/>
      <c r="LGA12" s="473"/>
      <c r="LGB12" s="473"/>
      <c r="LGC12" s="473"/>
      <c r="LGD12" s="473"/>
      <c r="LGE12" s="473"/>
      <c r="LGF12" s="473"/>
      <c r="LGG12" s="473"/>
      <c r="LGH12" s="473"/>
      <c r="LGI12" s="473"/>
      <c r="LGJ12" s="473"/>
      <c r="LGK12" s="473"/>
      <c r="LGL12" s="473"/>
      <c r="LGM12" s="473"/>
      <c r="LGN12" s="473"/>
      <c r="LGO12" s="473"/>
      <c r="LGP12" s="473"/>
      <c r="LGQ12" s="473"/>
      <c r="LGR12" s="473"/>
      <c r="LGS12" s="473"/>
      <c r="LGT12" s="473"/>
      <c r="LGU12" s="473"/>
      <c r="LGV12" s="473"/>
      <c r="LGW12" s="473"/>
      <c r="LGX12" s="473"/>
      <c r="LGY12" s="473"/>
      <c r="LGZ12" s="473"/>
      <c r="LHA12" s="473"/>
      <c r="LHB12" s="473"/>
      <c r="LHC12" s="473"/>
      <c r="LHD12" s="473"/>
      <c r="LHE12" s="473"/>
      <c r="LHF12" s="473"/>
      <c r="LHG12" s="473"/>
      <c r="LHH12" s="473"/>
      <c r="LHI12" s="473"/>
      <c r="LHJ12" s="473"/>
      <c r="LHK12" s="473"/>
      <c r="LHL12" s="473"/>
      <c r="LHM12" s="473"/>
      <c r="LHN12" s="473"/>
      <c r="LHO12" s="473"/>
      <c r="LHP12" s="473"/>
      <c r="LHQ12" s="473"/>
      <c r="LHR12" s="473"/>
      <c r="LHS12" s="473"/>
      <c r="LHT12" s="473"/>
      <c r="LHU12" s="473"/>
      <c r="LHV12" s="473"/>
      <c r="LHW12" s="473"/>
      <c r="LHX12" s="473"/>
      <c r="LHY12" s="473"/>
      <c r="LHZ12" s="473"/>
      <c r="LIA12" s="473"/>
      <c r="LIB12" s="473"/>
      <c r="LIC12" s="473"/>
      <c r="LID12" s="473"/>
      <c r="LIE12" s="473"/>
      <c r="LIF12" s="473"/>
      <c r="LIG12" s="473"/>
      <c r="LIH12" s="473"/>
      <c r="LII12" s="473"/>
      <c r="LIJ12" s="473"/>
      <c r="LIK12" s="473"/>
      <c r="LIL12" s="473"/>
      <c r="LIM12" s="473"/>
      <c r="LIN12" s="473"/>
      <c r="LIO12" s="473"/>
      <c r="LIP12" s="473"/>
      <c r="LIQ12" s="473"/>
      <c r="LIR12" s="473"/>
      <c r="LIS12" s="473"/>
      <c r="LIT12" s="473"/>
      <c r="LIU12" s="473"/>
      <c r="LIV12" s="473"/>
      <c r="LIW12" s="473"/>
      <c r="LIX12" s="473"/>
      <c r="LIY12" s="473"/>
      <c r="LIZ12" s="473"/>
      <c r="LJA12" s="473"/>
      <c r="LJB12" s="473"/>
      <c r="LJC12" s="473"/>
      <c r="LJD12" s="473"/>
      <c r="LJE12" s="473"/>
      <c r="LJF12" s="473"/>
      <c r="LJG12" s="473"/>
      <c r="LJH12" s="473"/>
      <c r="LJI12" s="473"/>
      <c r="LJJ12" s="473"/>
      <c r="LJK12" s="473"/>
      <c r="LJL12" s="473"/>
      <c r="LJM12" s="473"/>
      <c r="LJN12" s="473"/>
      <c r="LJO12" s="473"/>
      <c r="LJP12" s="473"/>
      <c r="LJQ12" s="473"/>
      <c r="LJR12" s="473"/>
      <c r="LJS12" s="473"/>
      <c r="LJT12" s="473"/>
      <c r="LJU12" s="473"/>
      <c r="LJV12" s="473"/>
      <c r="LJW12" s="473"/>
      <c r="LJX12" s="473"/>
      <c r="LJY12" s="473"/>
      <c r="LJZ12" s="473"/>
      <c r="LKA12" s="473"/>
      <c r="LKB12" s="473"/>
      <c r="LKC12" s="473"/>
      <c r="LKD12" s="473"/>
      <c r="LKE12" s="473"/>
      <c r="LKF12" s="473"/>
      <c r="LKG12" s="473"/>
      <c r="LKH12" s="473"/>
      <c r="LKI12" s="473"/>
      <c r="LKJ12" s="473"/>
      <c r="LKK12" s="473"/>
      <c r="LKL12" s="473"/>
      <c r="LKM12" s="473"/>
      <c r="LKN12" s="473"/>
      <c r="LKO12" s="473"/>
      <c r="LKP12" s="473"/>
      <c r="LKQ12" s="473"/>
      <c r="LKR12" s="473"/>
      <c r="LKS12" s="473"/>
      <c r="LKT12" s="473"/>
      <c r="LKU12" s="473"/>
      <c r="LKV12" s="473"/>
      <c r="LKW12" s="473"/>
      <c r="LKX12" s="473"/>
      <c r="LKY12" s="473"/>
      <c r="LKZ12" s="473"/>
      <c r="LLA12" s="473"/>
      <c r="LLB12" s="473"/>
      <c r="LLC12" s="473"/>
      <c r="LLD12" s="473"/>
      <c r="LLE12" s="473"/>
      <c r="LLF12" s="473"/>
      <c r="LLG12" s="473"/>
      <c r="LLH12" s="473"/>
      <c r="LLI12" s="473"/>
      <c r="LLJ12" s="473"/>
      <c r="LLK12" s="473"/>
      <c r="LLL12" s="473"/>
      <c r="LLM12" s="473"/>
      <c r="LLN12" s="473"/>
      <c r="LLO12" s="473"/>
      <c r="LLP12" s="473"/>
      <c r="LLQ12" s="473"/>
      <c r="LLR12" s="473"/>
      <c r="LLS12" s="473"/>
      <c r="LLT12" s="473"/>
      <c r="LLU12" s="473"/>
      <c r="LLV12" s="473"/>
      <c r="LLW12" s="473"/>
      <c r="LLX12" s="473"/>
      <c r="LLY12" s="473"/>
      <c r="LLZ12" s="473"/>
      <c r="LMA12" s="473"/>
      <c r="LMB12" s="473"/>
      <c r="LMC12" s="473"/>
      <c r="LMD12" s="473"/>
      <c r="LME12" s="473"/>
      <c r="LMF12" s="473"/>
      <c r="LMG12" s="473"/>
      <c r="LMH12" s="473"/>
      <c r="LMI12" s="473"/>
      <c r="LMJ12" s="473"/>
      <c r="LMK12" s="473"/>
      <c r="LML12" s="473"/>
      <c r="LMM12" s="473"/>
      <c r="LMN12" s="473"/>
      <c r="LMO12" s="473"/>
      <c r="LMP12" s="473"/>
      <c r="LMQ12" s="473"/>
      <c r="LMR12" s="473"/>
      <c r="LMS12" s="473"/>
      <c r="LMT12" s="473"/>
      <c r="LMU12" s="473"/>
      <c r="LMV12" s="473"/>
      <c r="LMW12" s="473"/>
      <c r="LMX12" s="473"/>
      <c r="LMY12" s="473"/>
      <c r="LMZ12" s="473"/>
      <c r="LNA12" s="473"/>
      <c r="LNB12" s="473"/>
      <c r="LNC12" s="473"/>
      <c r="LND12" s="473"/>
      <c r="LNE12" s="473"/>
      <c r="LNF12" s="473"/>
      <c r="LNG12" s="473"/>
      <c r="LNH12" s="473"/>
      <c r="LNI12" s="473"/>
      <c r="LNJ12" s="473"/>
      <c r="LNK12" s="473"/>
      <c r="LNL12" s="473"/>
      <c r="LNM12" s="473"/>
      <c r="LNN12" s="473"/>
      <c r="LNO12" s="473"/>
      <c r="LNP12" s="473"/>
      <c r="LNQ12" s="473"/>
      <c r="LNR12" s="473"/>
      <c r="LNS12" s="473"/>
      <c r="LNT12" s="473"/>
      <c r="LNU12" s="473"/>
      <c r="LNV12" s="473"/>
      <c r="LNW12" s="473"/>
      <c r="LNX12" s="473"/>
      <c r="LNY12" s="473"/>
      <c r="LNZ12" s="473"/>
      <c r="LOA12" s="473"/>
      <c r="LOB12" s="473"/>
      <c r="LOC12" s="473"/>
      <c r="LOD12" s="473"/>
      <c r="LOE12" s="473"/>
      <c r="LOF12" s="473"/>
      <c r="LOG12" s="473"/>
      <c r="LOH12" s="473"/>
      <c r="LOI12" s="473"/>
      <c r="LOJ12" s="473"/>
      <c r="LOK12" s="473"/>
      <c r="LOL12" s="473"/>
      <c r="LOM12" s="473"/>
      <c r="LON12" s="473"/>
      <c r="LOO12" s="473"/>
      <c r="LOP12" s="473"/>
      <c r="LOQ12" s="473"/>
      <c r="LOR12" s="473"/>
      <c r="LOS12" s="473"/>
      <c r="LOT12" s="473"/>
      <c r="LOU12" s="473"/>
      <c r="LOV12" s="473"/>
      <c r="LOW12" s="473"/>
      <c r="LOX12" s="473"/>
      <c r="LOY12" s="473"/>
      <c r="LOZ12" s="473"/>
      <c r="LPA12" s="473"/>
      <c r="LPB12" s="473"/>
      <c r="LPC12" s="473"/>
      <c r="LPD12" s="473"/>
      <c r="LPE12" s="473"/>
      <c r="LPF12" s="473"/>
      <c r="LPG12" s="473"/>
      <c r="LPH12" s="473"/>
      <c r="LPI12" s="473"/>
      <c r="LPJ12" s="473"/>
      <c r="LPK12" s="473"/>
      <c r="LPL12" s="473"/>
      <c r="LPM12" s="473"/>
      <c r="LPN12" s="473"/>
      <c r="LPO12" s="473"/>
      <c r="LPP12" s="473"/>
      <c r="LPQ12" s="473"/>
      <c r="LPR12" s="473"/>
      <c r="LPS12" s="473"/>
      <c r="LPT12" s="473"/>
      <c r="LPU12" s="473"/>
      <c r="LPV12" s="473"/>
      <c r="LPW12" s="473"/>
      <c r="LPX12" s="473"/>
      <c r="LPY12" s="473"/>
      <c r="LPZ12" s="473"/>
      <c r="LQA12" s="473"/>
      <c r="LQB12" s="473"/>
      <c r="LQC12" s="473"/>
      <c r="LQD12" s="473"/>
      <c r="LQE12" s="473"/>
      <c r="LQF12" s="473"/>
      <c r="LQG12" s="473"/>
      <c r="LQH12" s="473"/>
      <c r="LQI12" s="473"/>
      <c r="LQJ12" s="473"/>
      <c r="LQK12" s="473"/>
      <c r="LQL12" s="473"/>
      <c r="LQM12" s="473"/>
      <c r="LQN12" s="473"/>
      <c r="LQO12" s="473"/>
      <c r="LQP12" s="473"/>
      <c r="LQQ12" s="473"/>
      <c r="LQR12" s="473"/>
      <c r="LQS12" s="473"/>
      <c r="LQT12" s="473"/>
      <c r="LQU12" s="473"/>
      <c r="LQV12" s="473"/>
      <c r="LQW12" s="473"/>
      <c r="LQX12" s="473"/>
      <c r="LQY12" s="473"/>
      <c r="LQZ12" s="473"/>
      <c r="LRA12" s="473"/>
      <c r="LRB12" s="473"/>
      <c r="LRC12" s="473"/>
      <c r="LRD12" s="473"/>
      <c r="LRE12" s="473"/>
      <c r="LRF12" s="473"/>
      <c r="LRG12" s="473"/>
      <c r="LRH12" s="473"/>
      <c r="LRI12" s="473"/>
      <c r="LRJ12" s="473"/>
      <c r="LRK12" s="473"/>
      <c r="LRL12" s="473"/>
      <c r="LRM12" s="473"/>
      <c r="LRN12" s="473"/>
      <c r="LRO12" s="473"/>
      <c r="LRP12" s="473"/>
      <c r="LRQ12" s="473"/>
      <c r="LRR12" s="473"/>
      <c r="LRS12" s="473"/>
      <c r="LRT12" s="473"/>
      <c r="LRU12" s="473"/>
      <c r="LRV12" s="473"/>
      <c r="LRW12" s="473"/>
      <c r="LRX12" s="473"/>
      <c r="LRY12" s="473"/>
      <c r="LRZ12" s="473"/>
      <c r="LSA12" s="473"/>
      <c r="LSB12" s="473"/>
      <c r="LSC12" s="473"/>
      <c r="LSD12" s="473"/>
      <c r="LSE12" s="473"/>
      <c r="LSF12" s="473"/>
      <c r="LSG12" s="473"/>
      <c r="LSH12" s="473"/>
      <c r="LSI12" s="473"/>
      <c r="LSJ12" s="473"/>
      <c r="LSK12" s="473"/>
      <c r="LSL12" s="473"/>
      <c r="LSM12" s="473"/>
      <c r="LSN12" s="473"/>
      <c r="LSO12" s="473"/>
      <c r="LSP12" s="473"/>
      <c r="LSQ12" s="473"/>
      <c r="LSR12" s="473"/>
      <c r="LSS12" s="473"/>
      <c r="LST12" s="473"/>
      <c r="LSU12" s="473"/>
      <c r="LSV12" s="473"/>
      <c r="LSW12" s="473"/>
      <c r="LSX12" s="473"/>
      <c r="LSY12" s="473"/>
      <c r="LSZ12" s="473"/>
      <c r="LTA12" s="473"/>
      <c r="LTB12" s="473"/>
      <c r="LTC12" s="473"/>
      <c r="LTD12" s="473"/>
      <c r="LTE12" s="473"/>
      <c r="LTF12" s="473"/>
      <c r="LTG12" s="473"/>
      <c r="LTH12" s="473"/>
      <c r="LTI12" s="473"/>
      <c r="LTJ12" s="473"/>
      <c r="LTK12" s="473"/>
      <c r="LTL12" s="473"/>
      <c r="LTM12" s="473"/>
      <c r="LTN12" s="473"/>
      <c r="LTO12" s="473"/>
      <c r="LTP12" s="473"/>
      <c r="LTQ12" s="473"/>
      <c r="LTR12" s="473"/>
      <c r="LTS12" s="473"/>
      <c r="LTT12" s="473"/>
      <c r="LTU12" s="473"/>
      <c r="LTV12" s="473"/>
      <c r="LTW12" s="473"/>
      <c r="LTX12" s="473"/>
      <c r="LTY12" s="473"/>
      <c r="LTZ12" s="473"/>
      <c r="LUA12" s="473"/>
      <c r="LUB12" s="473"/>
      <c r="LUC12" s="473"/>
      <c r="LUD12" s="473"/>
      <c r="LUE12" s="473"/>
      <c r="LUF12" s="473"/>
      <c r="LUG12" s="473"/>
      <c r="LUH12" s="473"/>
      <c r="LUI12" s="473"/>
      <c r="LUJ12" s="473"/>
      <c r="LUK12" s="473"/>
      <c r="LUL12" s="473"/>
      <c r="LUM12" s="473"/>
      <c r="LUN12" s="473"/>
      <c r="LUO12" s="473"/>
      <c r="LUP12" s="473"/>
      <c r="LUQ12" s="473"/>
      <c r="LUR12" s="473"/>
      <c r="LUS12" s="473"/>
      <c r="LUT12" s="473"/>
      <c r="LUU12" s="473"/>
      <c r="LUV12" s="473"/>
      <c r="LUW12" s="473"/>
      <c r="LUX12" s="473"/>
      <c r="LUY12" s="473"/>
      <c r="LUZ12" s="473"/>
      <c r="LVA12" s="473"/>
      <c r="LVB12" s="473"/>
      <c r="LVC12" s="473"/>
      <c r="LVD12" s="473"/>
      <c r="LVE12" s="473"/>
      <c r="LVF12" s="473"/>
      <c r="LVG12" s="473"/>
      <c r="LVH12" s="473"/>
      <c r="LVI12" s="473"/>
      <c r="LVJ12" s="473"/>
      <c r="LVK12" s="473"/>
      <c r="LVL12" s="473"/>
      <c r="LVM12" s="473"/>
      <c r="LVN12" s="473"/>
      <c r="LVO12" s="473"/>
      <c r="LVP12" s="473"/>
      <c r="LVQ12" s="473"/>
      <c r="LVR12" s="473"/>
      <c r="LVS12" s="473"/>
      <c r="LVT12" s="473"/>
      <c r="LVU12" s="473"/>
      <c r="LVV12" s="473"/>
      <c r="LVW12" s="473"/>
      <c r="LVX12" s="473"/>
      <c r="LVY12" s="473"/>
      <c r="LVZ12" s="473"/>
      <c r="LWA12" s="473"/>
      <c r="LWB12" s="473"/>
      <c r="LWC12" s="473"/>
      <c r="LWD12" s="473"/>
      <c r="LWE12" s="473"/>
      <c r="LWF12" s="473"/>
      <c r="LWG12" s="473"/>
      <c r="LWH12" s="473"/>
      <c r="LWI12" s="473"/>
      <c r="LWJ12" s="473"/>
      <c r="LWK12" s="473"/>
      <c r="LWL12" s="473"/>
      <c r="LWM12" s="473"/>
      <c r="LWN12" s="473"/>
      <c r="LWO12" s="473"/>
      <c r="LWP12" s="473"/>
      <c r="LWQ12" s="473"/>
      <c r="LWR12" s="473"/>
      <c r="LWS12" s="473"/>
      <c r="LWT12" s="473"/>
      <c r="LWU12" s="473"/>
      <c r="LWV12" s="473"/>
      <c r="LWW12" s="473"/>
      <c r="LWX12" s="473"/>
      <c r="LWY12" s="473"/>
      <c r="LWZ12" s="473"/>
      <c r="LXA12" s="473"/>
      <c r="LXB12" s="473"/>
      <c r="LXC12" s="473"/>
      <c r="LXD12" s="473"/>
      <c r="LXE12" s="473"/>
      <c r="LXF12" s="473"/>
      <c r="LXG12" s="473"/>
      <c r="LXH12" s="473"/>
      <c r="LXI12" s="473"/>
      <c r="LXJ12" s="473"/>
      <c r="LXK12" s="473"/>
      <c r="LXL12" s="473"/>
      <c r="LXM12" s="473"/>
      <c r="LXN12" s="473"/>
      <c r="LXO12" s="473"/>
      <c r="LXP12" s="473"/>
      <c r="LXQ12" s="473"/>
      <c r="LXR12" s="473"/>
      <c r="LXS12" s="473"/>
      <c r="LXT12" s="473"/>
      <c r="LXU12" s="473"/>
      <c r="LXV12" s="473"/>
      <c r="LXW12" s="473"/>
      <c r="LXX12" s="473"/>
      <c r="LXY12" s="473"/>
      <c r="LXZ12" s="473"/>
      <c r="LYA12" s="473"/>
      <c r="LYB12" s="473"/>
      <c r="LYC12" s="473"/>
      <c r="LYD12" s="473"/>
      <c r="LYE12" s="473"/>
      <c r="LYF12" s="473"/>
      <c r="LYG12" s="473"/>
      <c r="LYH12" s="473"/>
      <c r="LYI12" s="473"/>
      <c r="LYJ12" s="473"/>
      <c r="LYK12" s="473"/>
      <c r="LYL12" s="473"/>
      <c r="LYM12" s="473"/>
      <c r="LYN12" s="473"/>
      <c r="LYO12" s="473"/>
      <c r="LYP12" s="473"/>
      <c r="LYQ12" s="473"/>
      <c r="LYR12" s="473"/>
      <c r="LYS12" s="473"/>
      <c r="LYT12" s="473"/>
      <c r="LYU12" s="473"/>
      <c r="LYV12" s="473"/>
      <c r="LYW12" s="473"/>
      <c r="LYX12" s="473"/>
      <c r="LYY12" s="473"/>
      <c r="LYZ12" s="473"/>
      <c r="LZA12" s="473"/>
      <c r="LZB12" s="473"/>
      <c r="LZC12" s="473"/>
      <c r="LZD12" s="473"/>
      <c r="LZE12" s="473"/>
      <c r="LZF12" s="473"/>
      <c r="LZG12" s="473"/>
      <c r="LZH12" s="473"/>
      <c r="LZI12" s="473"/>
      <c r="LZJ12" s="473"/>
      <c r="LZK12" s="473"/>
      <c r="LZL12" s="473"/>
      <c r="LZM12" s="473"/>
      <c r="LZN12" s="473"/>
      <c r="LZO12" s="473"/>
      <c r="LZP12" s="473"/>
      <c r="LZQ12" s="473"/>
      <c r="LZR12" s="473"/>
      <c r="LZS12" s="473"/>
      <c r="LZT12" s="473"/>
      <c r="LZU12" s="473"/>
      <c r="LZV12" s="473"/>
      <c r="LZW12" s="473"/>
      <c r="LZX12" s="473"/>
      <c r="LZY12" s="473"/>
      <c r="LZZ12" s="473"/>
      <c r="MAA12" s="473"/>
      <c r="MAB12" s="473"/>
      <c r="MAC12" s="473"/>
      <c r="MAD12" s="473"/>
      <c r="MAE12" s="473"/>
      <c r="MAF12" s="473"/>
      <c r="MAG12" s="473"/>
      <c r="MAH12" s="473"/>
      <c r="MAI12" s="473"/>
      <c r="MAJ12" s="473"/>
      <c r="MAK12" s="473"/>
      <c r="MAL12" s="473"/>
      <c r="MAM12" s="473"/>
      <c r="MAN12" s="473"/>
      <c r="MAO12" s="473"/>
      <c r="MAP12" s="473"/>
      <c r="MAQ12" s="473"/>
      <c r="MAR12" s="473"/>
      <c r="MAS12" s="473"/>
      <c r="MAT12" s="473"/>
      <c r="MAU12" s="473"/>
      <c r="MAV12" s="473"/>
      <c r="MAW12" s="473"/>
      <c r="MAX12" s="473"/>
      <c r="MAY12" s="473"/>
      <c r="MAZ12" s="473"/>
      <c r="MBA12" s="473"/>
      <c r="MBB12" s="473"/>
      <c r="MBC12" s="473"/>
      <c r="MBD12" s="473"/>
      <c r="MBE12" s="473"/>
      <c r="MBF12" s="473"/>
      <c r="MBG12" s="473"/>
      <c r="MBH12" s="473"/>
      <c r="MBI12" s="473"/>
      <c r="MBJ12" s="473"/>
      <c r="MBK12" s="473"/>
      <c r="MBL12" s="473"/>
      <c r="MBM12" s="473"/>
      <c r="MBN12" s="473"/>
      <c r="MBO12" s="473"/>
      <c r="MBP12" s="473"/>
      <c r="MBQ12" s="473"/>
      <c r="MBR12" s="473"/>
      <c r="MBS12" s="473"/>
      <c r="MBT12" s="473"/>
      <c r="MBU12" s="473"/>
      <c r="MBV12" s="473"/>
      <c r="MBW12" s="473"/>
      <c r="MBX12" s="473"/>
      <c r="MBY12" s="473"/>
      <c r="MBZ12" s="473"/>
      <c r="MCA12" s="473"/>
      <c r="MCB12" s="473"/>
      <c r="MCC12" s="473"/>
      <c r="MCD12" s="473"/>
      <c r="MCE12" s="473"/>
      <c r="MCF12" s="473"/>
      <c r="MCG12" s="473"/>
      <c r="MCH12" s="473"/>
      <c r="MCI12" s="473"/>
      <c r="MCJ12" s="473"/>
      <c r="MCK12" s="473"/>
      <c r="MCL12" s="473"/>
      <c r="MCM12" s="473"/>
      <c r="MCN12" s="473"/>
      <c r="MCO12" s="473"/>
      <c r="MCP12" s="473"/>
      <c r="MCQ12" s="473"/>
      <c r="MCR12" s="473"/>
      <c r="MCS12" s="473"/>
      <c r="MCT12" s="473"/>
      <c r="MCU12" s="473"/>
      <c r="MCV12" s="473"/>
      <c r="MCW12" s="473"/>
      <c r="MCX12" s="473"/>
      <c r="MCY12" s="473"/>
      <c r="MCZ12" s="473"/>
      <c r="MDA12" s="473"/>
      <c r="MDB12" s="473"/>
      <c r="MDC12" s="473"/>
      <c r="MDD12" s="473"/>
      <c r="MDE12" s="473"/>
      <c r="MDF12" s="473"/>
      <c r="MDG12" s="473"/>
      <c r="MDH12" s="473"/>
      <c r="MDI12" s="473"/>
      <c r="MDJ12" s="473"/>
      <c r="MDK12" s="473"/>
      <c r="MDL12" s="473"/>
      <c r="MDM12" s="473"/>
      <c r="MDN12" s="473"/>
      <c r="MDO12" s="473"/>
      <c r="MDP12" s="473"/>
      <c r="MDQ12" s="473"/>
      <c r="MDR12" s="473"/>
      <c r="MDS12" s="473"/>
      <c r="MDT12" s="473"/>
      <c r="MDU12" s="473"/>
      <c r="MDV12" s="473"/>
      <c r="MDW12" s="473"/>
      <c r="MDX12" s="473"/>
      <c r="MDY12" s="473"/>
      <c r="MDZ12" s="473"/>
      <c r="MEA12" s="473"/>
      <c r="MEB12" s="473"/>
      <c r="MEC12" s="473"/>
      <c r="MED12" s="473"/>
      <c r="MEE12" s="473"/>
      <c r="MEF12" s="473"/>
      <c r="MEG12" s="473"/>
      <c r="MEH12" s="473"/>
      <c r="MEI12" s="473"/>
      <c r="MEJ12" s="473"/>
      <c r="MEK12" s="473"/>
      <c r="MEL12" s="473"/>
      <c r="MEM12" s="473"/>
      <c r="MEN12" s="473"/>
      <c r="MEO12" s="473"/>
      <c r="MEP12" s="473"/>
      <c r="MEQ12" s="473"/>
      <c r="MER12" s="473"/>
      <c r="MES12" s="473"/>
      <c r="MET12" s="473"/>
      <c r="MEU12" s="473"/>
      <c r="MEV12" s="473"/>
      <c r="MEW12" s="473"/>
      <c r="MEX12" s="473"/>
      <c r="MEY12" s="473"/>
      <c r="MEZ12" s="473"/>
      <c r="MFA12" s="473"/>
      <c r="MFB12" s="473"/>
      <c r="MFC12" s="473"/>
      <c r="MFD12" s="473"/>
      <c r="MFE12" s="473"/>
      <c r="MFF12" s="473"/>
      <c r="MFG12" s="473"/>
      <c r="MFH12" s="473"/>
      <c r="MFI12" s="473"/>
      <c r="MFJ12" s="473"/>
      <c r="MFK12" s="473"/>
      <c r="MFL12" s="473"/>
      <c r="MFM12" s="473"/>
      <c r="MFN12" s="473"/>
      <c r="MFO12" s="473"/>
      <c r="MFP12" s="473"/>
      <c r="MFQ12" s="473"/>
      <c r="MFR12" s="473"/>
      <c r="MFS12" s="473"/>
      <c r="MFT12" s="473"/>
      <c r="MFU12" s="473"/>
      <c r="MFV12" s="473"/>
      <c r="MFW12" s="473"/>
      <c r="MFX12" s="473"/>
      <c r="MFY12" s="473"/>
      <c r="MFZ12" s="473"/>
      <c r="MGA12" s="473"/>
      <c r="MGB12" s="473"/>
      <c r="MGC12" s="473"/>
      <c r="MGD12" s="473"/>
      <c r="MGE12" s="473"/>
      <c r="MGF12" s="473"/>
      <c r="MGG12" s="473"/>
      <c r="MGH12" s="473"/>
      <c r="MGI12" s="473"/>
      <c r="MGJ12" s="473"/>
      <c r="MGK12" s="473"/>
      <c r="MGL12" s="473"/>
      <c r="MGM12" s="473"/>
      <c r="MGN12" s="473"/>
      <c r="MGO12" s="473"/>
      <c r="MGP12" s="473"/>
      <c r="MGQ12" s="473"/>
      <c r="MGR12" s="473"/>
      <c r="MGS12" s="473"/>
      <c r="MGT12" s="473"/>
      <c r="MGU12" s="473"/>
      <c r="MGV12" s="473"/>
      <c r="MGW12" s="473"/>
      <c r="MGX12" s="473"/>
      <c r="MGY12" s="473"/>
      <c r="MGZ12" s="473"/>
      <c r="MHA12" s="473"/>
      <c r="MHB12" s="473"/>
      <c r="MHC12" s="473"/>
      <c r="MHD12" s="473"/>
      <c r="MHE12" s="473"/>
      <c r="MHF12" s="473"/>
      <c r="MHG12" s="473"/>
      <c r="MHH12" s="473"/>
      <c r="MHI12" s="473"/>
      <c r="MHJ12" s="473"/>
      <c r="MHK12" s="473"/>
      <c r="MHL12" s="473"/>
      <c r="MHM12" s="473"/>
      <c r="MHN12" s="473"/>
      <c r="MHO12" s="473"/>
      <c r="MHP12" s="473"/>
      <c r="MHQ12" s="473"/>
      <c r="MHR12" s="473"/>
      <c r="MHS12" s="473"/>
      <c r="MHT12" s="473"/>
      <c r="MHU12" s="473"/>
      <c r="MHV12" s="473"/>
      <c r="MHW12" s="473"/>
      <c r="MHX12" s="473"/>
      <c r="MHY12" s="473"/>
      <c r="MHZ12" s="473"/>
      <c r="MIA12" s="473"/>
      <c r="MIB12" s="473"/>
      <c r="MIC12" s="473"/>
      <c r="MID12" s="473"/>
      <c r="MIE12" s="473"/>
      <c r="MIF12" s="473"/>
      <c r="MIG12" s="473"/>
      <c r="MIH12" s="473"/>
      <c r="MII12" s="473"/>
      <c r="MIJ12" s="473"/>
      <c r="MIK12" s="473"/>
      <c r="MIL12" s="473"/>
      <c r="MIM12" s="473"/>
      <c r="MIN12" s="473"/>
      <c r="MIO12" s="473"/>
      <c r="MIP12" s="473"/>
      <c r="MIQ12" s="473"/>
      <c r="MIR12" s="473"/>
      <c r="MIS12" s="473"/>
      <c r="MIT12" s="473"/>
      <c r="MIU12" s="473"/>
      <c r="MIV12" s="473"/>
      <c r="MIW12" s="473"/>
      <c r="MIX12" s="473"/>
      <c r="MIY12" s="473"/>
      <c r="MIZ12" s="473"/>
      <c r="MJA12" s="473"/>
      <c r="MJB12" s="473"/>
      <c r="MJC12" s="473"/>
      <c r="MJD12" s="473"/>
      <c r="MJE12" s="473"/>
      <c r="MJF12" s="473"/>
      <c r="MJG12" s="473"/>
      <c r="MJH12" s="473"/>
      <c r="MJI12" s="473"/>
      <c r="MJJ12" s="473"/>
      <c r="MJK12" s="473"/>
      <c r="MJL12" s="473"/>
      <c r="MJM12" s="473"/>
      <c r="MJN12" s="473"/>
      <c r="MJO12" s="473"/>
      <c r="MJP12" s="473"/>
      <c r="MJQ12" s="473"/>
      <c r="MJR12" s="473"/>
      <c r="MJS12" s="473"/>
      <c r="MJT12" s="473"/>
      <c r="MJU12" s="473"/>
      <c r="MJV12" s="473"/>
      <c r="MJW12" s="473"/>
      <c r="MJX12" s="473"/>
      <c r="MJY12" s="473"/>
      <c r="MJZ12" s="473"/>
      <c r="MKA12" s="473"/>
      <c r="MKB12" s="473"/>
      <c r="MKC12" s="473"/>
      <c r="MKD12" s="473"/>
      <c r="MKE12" s="473"/>
      <c r="MKF12" s="473"/>
      <c r="MKG12" s="473"/>
      <c r="MKH12" s="473"/>
      <c r="MKI12" s="473"/>
      <c r="MKJ12" s="473"/>
      <c r="MKK12" s="473"/>
      <c r="MKL12" s="473"/>
      <c r="MKM12" s="473"/>
      <c r="MKN12" s="473"/>
      <c r="MKO12" s="473"/>
      <c r="MKP12" s="473"/>
      <c r="MKQ12" s="473"/>
      <c r="MKR12" s="473"/>
      <c r="MKS12" s="473"/>
      <c r="MKT12" s="473"/>
      <c r="MKU12" s="473"/>
      <c r="MKV12" s="473"/>
      <c r="MKW12" s="473"/>
      <c r="MKX12" s="473"/>
      <c r="MKY12" s="473"/>
      <c r="MKZ12" s="473"/>
      <c r="MLA12" s="473"/>
      <c r="MLB12" s="473"/>
      <c r="MLC12" s="473"/>
      <c r="MLD12" s="473"/>
      <c r="MLE12" s="473"/>
      <c r="MLF12" s="473"/>
      <c r="MLG12" s="473"/>
      <c r="MLH12" s="473"/>
      <c r="MLI12" s="473"/>
      <c r="MLJ12" s="473"/>
      <c r="MLK12" s="473"/>
      <c r="MLL12" s="473"/>
      <c r="MLM12" s="473"/>
      <c r="MLN12" s="473"/>
      <c r="MLO12" s="473"/>
      <c r="MLP12" s="473"/>
      <c r="MLQ12" s="473"/>
      <c r="MLR12" s="473"/>
      <c r="MLS12" s="473"/>
      <c r="MLT12" s="473"/>
      <c r="MLU12" s="473"/>
      <c r="MLV12" s="473"/>
      <c r="MLW12" s="473"/>
      <c r="MLX12" s="473"/>
      <c r="MLY12" s="473"/>
      <c r="MLZ12" s="473"/>
      <c r="MMA12" s="473"/>
      <c r="MMB12" s="473"/>
      <c r="MMC12" s="473"/>
      <c r="MMD12" s="473"/>
      <c r="MME12" s="473"/>
      <c r="MMF12" s="473"/>
      <c r="MMG12" s="473"/>
      <c r="MMH12" s="473"/>
      <c r="MMI12" s="473"/>
      <c r="MMJ12" s="473"/>
      <c r="MMK12" s="473"/>
      <c r="MML12" s="473"/>
      <c r="MMM12" s="473"/>
      <c r="MMN12" s="473"/>
      <c r="MMO12" s="473"/>
      <c r="MMP12" s="473"/>
      <c r="MMQ12" s="473"/>
      <c r="MMR12" s="473"/>
      <c r="MMS12" s="473"/>
      <c r="MMT12" s="473"/>
      <c r="MMU12" s="473"/>
      <c r="MMV12" s="473"/>
      <c r="MMW12" s="473"/>
      <c r="MMX12" s="473"/>
      <c r="MMY12" s="473"/>
      <c r="MMZ12" s="473"/>
      <c r="MNA12" s="473"/>
      <c r="MNB12" s="473"/>
      <c r="MNC12" s="473"/>
      <c r="MND12" s="473"/>
      <c r="MNE12" s="473"/>
      <c r="MNF12" s="473"/>
      <c r="MNG12" s="473"/>
      <c r="MNH12" s="473"/>
      <c r="MNI12" s="473"/>
      <c r="MNJ12" s="473"/>
      <c r="MNK12" s="473"/>
      <c r="MNL12" s="473"/>
      <c r="MNM12" s="473"/>
      <c r="MNN12" s="473"/>
      <c r="MNO12" s="473"/>
      <c r="MNP12" s="473"/>
      <c r="MNQ12" s="473"/>
      <c r="MNR12" s="473"/>
      <c r="MNS12" s="473"/>
      <c r="MNT12" s="473"/>
      <c r="MNU12" s="473"/>
      <c r="MNV12" s="473"/>
      <c r="MNW12" s="473"/>
      <c r="MNX12" s="473"/>
      <c r="MNY12" s="473"/>
      <c r="MNZ12" s="473"/>
      <c r="MOA12" s="473"/>
      <c r="MOB12" s="473"/>
      <c r="MOC12" s="473"/>
      <c r="MOD12" s="473"/>
      <c r="MOE12" s="473"/>
      <c r="MOF12" s="473"/>
      <c r="MOG12" s="473"/>
      <c r="MOH12" s="473"/>
      <c r="MOI12" s="473"/>
      <c r="MOJ12" s="473"/>
      <c r="MOK12" s="473"/>
      <c r="MOL12" s="473"/>
      <c r="MOM12" s="473"/>
      <c r="MON12" s="473"/>
      <c r="MOO12" s="473"/>
      <c r="MOP12" s="473"/>
      <c r="MOQ12" s="473"/>
      <c r="MOR12" s="473"/>
      <c r="MOS12" s="473"/>
      <c r="MOT12" s="473"/>
      <c r="MOU12" s="473"/>
      <c r="MOV12" s="473"/>
      <c r="MOW12" s="473"/>
      <c r="MOX12" s="473"/>
      <c r="MOY12" s="473"/>
      <c r="MOZ12" s="473"/>
      <c r="MPA12" s="473"/>
      <c r="MPB12" s="473"/>
      <c r="MPC12" s="473"/>
      <c r="MPD12" s="473"/>
      <c r="MPE12" s="473"/>
      <c r="MPF12" s="473"/>
      <c r="MPG12" s="473"/>
      <c r="MPH12" s="473"/>
      <c r="MPI12" s="473"/>
      <c r="MPJ12" s="473"/>
      <c r="MPK12" s="473"/>
      <c r="MPL12" s="473"/>
      <c r="MPM12" s="473"/>
      <c r="MPN12" s="473"/>
      <c r="MPO12" s="473"/>
      <c r="MPP12" s="473"/>
      <c r="MPQ12" s="473"/>
      <c r="MPR12" s="473"/>
      <c r="MPS12" s="473"/>
      <c r="MPT12" s="473"/>
      <c r="MPU12" s="473"/>
      <c r="MPV12" s="473"/>
      <c r="MPW12" s="473"/>
      <c r="MPX12" s="473"/>
      <c r="MPY12" s="473"/>
      <c r="MPZ12" s="473"/>
      <c r="MQA12" s="473"/>
      <c r="MQB12" s="473"/>
      <c r="MQC12" s="473"/>
      <c r="MQD12" s="473"/>
      <c r="MQE12" s="473"/>
      <c r="MQF12" s="473"/>
      <c r="MQG12" s="473"/>
      <c r="MQH12" s="473"/>
      <c r="MQI12" s="473"/>
      <c r="MQJ12" s="473"/>
      <c r="MQK12" s="473"/>
      <c r="MQL12" s="473"/>
      <c r="MQM12" s="473"/>
      <c r="MQN12" s="473"/>
      <c r="MQO12" s="473"/>
      <c r="MQP12" s="473"/>
      <c r="MQQ12" s="473"/>
      <c r="MQR12" s="473"/>
      <c r="MQS12" s="473"/>
      <c r="MQT12" s="473"/>
      <c r="MQU12" s="473"/>
      <c r="MQV12" s="473"/>
      <c r="MQW12" s="473"/>
      <c r="MQX12" s="473"/>
      <c r="MQY12" s="473"/>
      <c r="MQZ12" s="473"/>
      <c r="MRA12" s="473"/>
      <c r="MRB12" s="473"/>
      <c r="MRC12" s="473"/>
      <c r="MRD12" s="473"/>
      <c r="MRE12" s="473"/>
      <c r="MRF12" s="473"/>
      <c r="MRG12" s="473"/>
      <c r="MRH12" s="473"/>
      <c r="MRI12" s="473"/>
      <c r="MRJ12" s="473"/>
      <c r="MRK12" s="473"/>
      <c r="MRL12" s="473"/>
      <c r="MRM12" s="473"/>
      <c r="MRN12" s="473"/>
      <c r="MRO12" s="473"/>
      <c r="MRP12" s="473"/>
      <c r="MRQ12" s="473"/>
      <c r="MRR12" s="473"/>
      <c r="MRS12" s="473"/>
      <c r="MRT12" s="473"/>
      <c r="MRU12" s="473"/>
      <c r="MRV12" s="473"/>
      <c r="MRW12" s="473"/>
      <c r="MRX12" s="473"/>
      <c r="MRY12" s="473"/>
      <c r="MRZ12" s="473"/>
      <c r="MSA12" s="473"/>
      <c r="MSB12" s="473"/>
      <c r="MSC12" s="473"/>
      <c r="MSD12" s="473"/>
      <c r="MSE12" s="473"/>
      <c r="MSF12" s="473"/>
      <c r="MSG12" s="473"/>
      <c r="MSH12" s="473"/>
      <c r="MSI12" s="473"/>
      <c r="MSJ12" s="473"/>
      <c r="MSK12" s="473"/>
      <c r="MSL12" s="473"/>
      <c r="MSM12" s="473"/>
      <c r="MSN12" s="473"/>
      <c r="MSO12" s="473"/>
      <c r="MSP12" s="473"/>
      <c r="MSQ12" s="473"/>
      <c r="MSR12" s="473"/>
      <c r="MSS12" s="473"/>
      <c r="MST12" s="473"/>
      <c r="MSU12" s="473"/>
      <c r="MSV12" s="473"/>
      <c r="MSW12" s="473"/>
      <c r="MSX12" s="473"/>
      <c r="MSY12" s="473"/>
      <c r="MSZ12" s="473"/>
      <c r="MTA12" s="473"/>
      <c r="MTB12" s="473"/>
      <c r="MTC12" s="473"/>
      <c r="MTD12" s="473"/>
      <c r="MTE12" s="473"/>
      <c r="MTF12" s="473"/>
      <c r="MTG12" s="473"/>
      <c r="MTH12" s="473"/>
      <c r="MTI12" s="473"/>
      <c r="MTJ12" s="473"/>
      <c r="MTK12" s="473"/>
      <c r="MTL12" s="473"/>
      <c r="MTM12" s="473"/>
      <c r="MTN12" s="473"/>
      <c r="MTO12" s="473"/>
      <c r="MTP12" s="473"/>
      <c r="MTQ12" s="473"/>
      <c r="MTR12" s="473"/>
      <c r="MTS12" s="473"/>
      <c r="MTT12" s="473"/>
      <c r="MTU12" s="473"/>
      <c r="MTV12" s="473"/>
      <c r="MTW12" s="473"/>
      <c r="MTX12" s="473"/>
      <c r="MTY12" s="473"/>
      <c r="MTZ12" s="473"/>
      <c r="MUA12" s="473"/>
      <c r="MUB12" s="473"/>
      <c r="MUC12" s="473"/>
      <c r="MUD12" s="473"/>
      <c r="MUE12" s="473"/>
      <c r="MUF12" s="473"/>
      <c r="MUG12" s="473"/>
      <c r="MUH12" s="473"/>
      <c r="MUI12" s="473"/>
      <c r="MUJ12" s="473"/>
      <c r="MUK12" s="473"/>
      <c r="MUL12" s="473"/>
      <c r="MUM12" s="473"/>
      <c r="MUN12" s="473"/>
      <c r="MUO12" s="473"/>
      <c r="MUP12" s="473"/>
      <c r="MUQ12" s="473"/>
      <c r="MUR12" s="473"/>
      <c r="MUS12" s="473"/>
      <c r="MUT12" s="473"/>
      <c r="MUU12" s="473"/>
      <c r="MUV12" s="473"/>
      <c r="MUW12" s="473"/>
      <c r="MUX12" s="473"/>
      <c r="MUY12" s="473"/>
      <c r="MUZ12" s="473"/>
      <c r="MVA12" s="473"/>
      <c r="MVB12" s="473"/>
      <c r="MVC12" s="473"/>
      <c r="MVD12" s="473"/>
      <c r="MVE12" s="473"/>
      <c r="MVF12" s="473"/>
      <c r="MVG12" s="473"/>
      <c r="MVH12" s="473"/>
      <c r="MVI12" s="473"/>
      <c r="MVJ12" s="473"/>
      <c r="MVK12" s="473"/>
      <c r="MVL12" s="473"/>
      <c r="MVM12" s="473"/>
      <c r="MVN12" s="473"/>
      <c r="MVO12" s="473"/>
      <c r="MVP12" s="473"/>
      <c r="MVQ12" s="473"/>
      <c r="MVR12" s="473"/>
      <c r="MVS12" s="473"/>
      <c r="MVT12" s="473"/>
      <c r="MVU12" s="473"/>
      <c r="MVV12" s="473"/>
      <c r="MVW12" s="473"/>
      <c r="MVX12" s="473"/>
      <c r="MVY12" s="473"/>
      <c r="MVZ12" s="473"/>
      <c r="MWA12" s="473"/>
      <c r="MWB12" s="473"/>
      <c r="MWC12" s="473"/>
      <c r="MWD12" s="473"/>
      <c r="MWE12" s="473"/>
      <c r="MWF12" s="473"/>
      <c r="MWG12" s="473"/>
      <c r="MWH12" s="473"/>
      <c r="MWI12" s="473"/>
      <c r="MWJ12" s="473"/>
      <c r="MWK12" s="473"/>
      <c r="MWL12" s="473"/>
      <c r="MWM12" s="473"/>
      <c r="MWN12" s="473"/>
      <c r="MWO12" s="473"/>
      <c r="MWP12" s="473"/>
      <c r="MWQ12" s="473"/>
      <c r="MWR12" s="473"/>
      <c r="MWS12" s="473"/>
      <c r="MWT12" s="473"/>
      <c r="MWU12" s="473"/>
      <c r="MWV12" s="473"/>
      <c r="MWW12" s="473"/>
      <c r="MWX12" s="473"/>
      <c r="MWY12" s="473"/>
      <c r="MWZ12" s="473"/>
      <c r="MXA12" s="473"/>
      <c r="MXB12" s="473"/>
      <c r="MXC12" s="473"/>
      <c r="MXD12" s="473"/>
      <c r="MXE12" s="473"/>
      <c r="MXF12" s="473"/>
      <c r="MXG12" s="473"/>
      <c r="MXH12" s="473"/>
      <c r="MXI12" s="473"/>
      <c r="MXJ12" s="473"/>
      <c r="MXK12" s="473"/>
      <c r="MXL12" s="473"/>
      <c r="MXM12" s="473"/>
      <c r="MXN12" s="473"/>
      <c r="MXO12" s="473"/>
      <c r="MXP12" s="473"/>
      <c r="MXQ12" s="473"/>
      <c r="MXR12" s="473"/>
      <c r="MXS12" s="473"/>
      <c r="MXT12" s="473"/>
      <c r="MXU12" s="473"/>
      <c r="MXV12" s="473"/>
      <c r="MXW12" s="473"/>
      <c r="MXX12" s="473"/>
      <c r="MXY12" s="473"/>
      <c r="MXZ12" s="473"/>
      <c r="MYA12" s="473"/>
      <c r="MYB12" s="473"/>
      <c r="MYC12" s="473"/>
      <c r="MYD12" s="473"/>
      <c r="MYE12" s="473"/>
      <c r="MYF12" s="473"/>
      <c r="MYG12" s="473"/>
      <c r="MYH12" s="473"/>
      <c r="MYI12" s="473"/>
      <c r="MYJ12" s="473"/>
      <c r="MYK12" s="473"/>
      <c r="MYL12" s="473"/>
      <c r="MYM12" s="473"/>
      <c r="MYN12" s="473"/>
      <c r="MYO12" s="473"/>
      <c r="MYP12" s="473"/>
      <c r="MYQ12" s="473"/>
      <c r="MYR12" s="473"/>
      <c r="MYS12" s="473"/>
      <c r="MYT12" s="473"/>
      <c r="MYU12" s="473"/>
      <c r="MYV12" s="473"/>
      <c r="MYW12" s="473"/>
      <c r="MYX12" s="473"/>
      <c r="MYY12" s="473"/>
      <c r="MYZ12" s="473"/>
      <c r="MZA12" s="473"/>
      <c r="MZB12" s="473"/>
      <c r="MZC12" s="473"/>
      <c r="MZD12" s="473"/>
      <c r="MZE12" s="473"/>
      <c r="MZF12" s="473"/>
      <c r="MZG12" s="473"/>
      <c r="MZH12" s="473"/>
      <c r="MZI12" s="473"/>
      <c r="MZJ12" s="473"/>
      <c r="MZK12" s="473"/>
      <c r="MZL12" s="473"/>
      <c r="MZM12" s="473"/>
      <c r="MZN12" s="473"/>
      <c r="MZO12" s="473"/>
      <c r="MZP12" s="473"/>
      <c r="MZQ12" s="473"/>
      <c r="MZR12" s="473"/>
      <c r="MZS12" s="473"/>
      <c r="MZT12" s="473"/>
      <c r="MZU12" s="473"/>
      <c r="MZV12" s="473"/>
      <c r="MZW12" s="473"/>
      <c r="MZX12" s="473"/>
      <c r="MZY12" s="473"/>
      <c r="MZZ12" s="473"/>
      <c r="NAA12" s="473"/>
      <c r="NAB12" s="473"/>
      <c r="NAC12" s="473"/>
      <c r="NAD12" s="473"/>
      <c r="NAE12" s="473"/>
      <c r="NAF12" s="473"/>
      <c r="NAG12" s="473"/>
      <c r="NAH12" s="473"/>
      <c r="NAI12" s="473"/>
      <c r="NAJ12" s="473"/>
      <c r="NAK12" s="473"/>
      <c r="NAL12" s="473"/>
      <c r="NAM12" s="473"/>
      <c r="NAN12" s="473"/>
      <c r="NAO12" s="473"/>
      <c r="NAP12" s="473"/>
      <c r="NAQ12" s="473"/>
      <c r="NAR12" s="473"/>
      <c r="NAS12" s="473"/>
      <c r="NAT12" s="473"/>
      <c r="NAU12" s="473"/>
      <c r="NAV12" s="473"/>
      <c r="NAW12" s="473"/>
      <c r="NAX12" s="473"/>
      <c r="NAY12" s="473"/>
      <c r="NAZ12" s="473"/>
      <c r="NBA12" s="473"/>
      <c r="NBB12" s="473"/>
      <c r="NBC12" s="473"/>
      <c r="NBD12" s="473"/>
      <c r="NBE12" s="473"/>
      <c r="NBF12" s="473"/>
      <c r="NBG12" s="473"/>
      <c r="NBH12" s="473"/>
      <c r="NBI12" s="473"/>
      <c r="NBJ12" s="473"/>
      <c r="NBK12" s="473"/>
      <c r="NBL12" s="473"/>
      <c r="NBM12" s="473"/>
      <c r="NBN12" s="473"/>
      <c r="NBO12" s="473"/>
      <c r="NBP12" s="473"/>
      <c r="NBQ12" s="473"/>
      <c r="NBR12" s="473"/>
      <c r="NBS12" s="473"/>
      <c r="NBT12" s="473"/>
      <c r="NBU12" s="473"/>
      <c r="NBV12" s="473"/>
      <c r="NBW12" s="473"/>
      <c r="NBX12" s="473"/>
      <c r="NBY12" s="473"/>
      <c r="NBZ12" s="473"/>
      <c r="NCA12" s="473"/>
      <c r="NCB12" s="473"/>
      <c r="NCC12" s="473"/>
      <c r="NCD12" s="473"/>
      <c r="NCE12" s="473"/>
      <c r="NCF12" s="473"/>
      <c r="NCG12" s="473"/>
      <c r="NCH12" s="473"/>
      <c r="NCI12" s="473"/>
      <c r="NCJ12" s="473"/>
      <c r="NCK12" s="473"/>
      <c r="NCL12" s="473"/>
      <c r="NCM12" s="473"/>
      <c r="NCN12" s="473"/>
      <c r="NCO12" s="473"/>
      <c r="NCP12" s="473"/>
      <c r="NCQ12" s="473"/>
      <c r="NCR12" s="473"/>
      <c r="NCS12" s="473"/>
      <c r="NCT12" s="473"/>
      <c r="NCU12" s="473"/>
      <c r="NCV12" s="473"/>
      <c r="NCW12" s="473"/>
      <c r="NCX12" s="473"/>
      <c r="NCY12" s="473"/>
      <c r="NCZ12" s="473"/>
      <c r="NDA12" s="473"/>
      <c r="NDB12" s="473"/>
      <c r="NDC12" s="473"/>
      <c r="NDD12" s="473"/>
      <c r="NDE12" s="473"/>
      <c r="NDF12" s="473"/>
      <c r="NDG12" s="473"/>
      <c r="NDH12" s="473"/>
      <c r="NDI12" s="473"/>
      <c r="NDJ12" s="473"/>
      <c r="NDK12" s="473"/>
      <c r="NDL12" s="473"/>
      <c r="NDM12" s="473"/>
      <c r="NDN12" s="473"/>
      <c r="NDO12" s="473"/>
      <c r="NDP12" s="473"/>
      <c r="NDQ12" s="473"/>
      <c r="NDR12" s="473"/>
      <c r="NDS12" s="473"/>
      <c r="NDT12" s="473"/>
      <c r="NDU12" s="473"/>
      <c r="NDV12" s="473"/>
      <c r="NDW12" s="473"/>
      <c r="NDX12" s="473"/>
      <c r="NDY12" s="473"/>
      <c r="NDZ12" s="473"/>
      <c r="NEA12" s="473"/>
      <c r="NEB12" s="473"/>
      <c r="NEC12" s="473"/>
      <c r="NED12" s="473"/>
      <c r="NEE12" s="473"/>
      <c r="NEF12" s="473"/>
      <c r="NEG12" s="473"/>
      <c r="NEH12" s="473"/>
      <c r="NEI12" s="473"/>
      <c r="NEJ12" s="473"/>
      <c r="NEK12" s="473"/>
      <c r="NEL12" s="473"/>
      <c r="NEM12" s="473"/>
      <c r="NEN12" s="473"/>
      <c r="NEO12" s="473"/>
      <c r="NEP12" s="473"/>
      <c r="NEQ12" s="473"/>
      <c r="NER12" s="473"/>
      <c r="NES12" s="473"/>
      <c r="NET12" s="473"/>
      <c r="NEU12" s="473"/>
      <c r="NEV12" s="473"/>
      <c r="NEW12" s="473"/>
      <c r="NEX12" s="473"/>
      <c r="NEY12" s="473"/>
      <c r="NEZ12" s="473"/>
      <c r="NFA12" s="473"/>
      <c r="NFB12" s="473"/>
      <c r="NFC12" s="473"/>
      <c r="NFD12" s="473"/>
      <c r="NFE12" s="473"/>
      <c r="NFF12" s="473"/>
      <c r="NFG12" s="473"/>
      <c r="NFH12" s="473"/>
      <c r="NFI12" s="473"/>
      <c r="NFJ12" s="473"/>
      <c r="NFK12" s="473"/>
      <c r="NFL12" s="473"/>
      <c r="NFM12" s="473"/>
      <c r="NFN12" s="473"/>
      <c r="NFO12" s="473"/>
      <c r="NFP12" s="473"/>
      <c r="NFQ12" s="473"/>
      <c r="NFR12" s="473"/>
      <c r="NFS12" s="473"/>
      <c r="NFT12" s="473"/>
      <c r="NFU12" s="473"/>
      <c r="NFV12" s="473"/>
      <c r="NFW12" s="473"/>
      <c r="NFX12" s="473"/>
      <c r="NFY12" s="473"/>
      <c r="NFZ12" s="473"/>
      <c r="NGA12" s="473"/>
      <c r="NGB12" s="473"/>
      <c r="NGC12" s="473"/>
      <c r="NGD12" s="473"/>
      <c r="NGE12" s="473"/>
      <c r="NGF12" s="473"/>
      <c r="NGG12" s="473"/>
      <c r="NGH12" s="473"/>
      <c r="NGI12" s="473"/>
      <c r="NGJ12" s="473"/>
      <c r="NGK12" s="473"/>
      <c r="NGL12" s="473"/>
      <c r="NGM12" s="473"/>
      <c r="NGN12" s="473"/>
      <c r="NGO12" s="473"/>
      <c r="NGP12" s="473"/>
      <c r="NGQ12" s="473"/>
      <c r="NGR12" s="473"/>
      <c r="NGS12" s="473"/>
      <c r="NGT12" s="473"/>
      <c r="NGU12" s="473"/>
      <c r="NGV12" s="473"/>
      <c r="NGW12" s="473"/>
      <c r="NGX12" s="473"/>
      <c r="NGY12" s="473"/>
      <c r="NGZ12" s="473"/>
      <c r="NHA12" s="473"/>
      <c r="NHB12" s="473"/>
      <c r="NHC12" s="473"/>
      <c r="NHD12" s="473"/>
      <c r="NHE12" s="473"/>
      <c r="NHF12" s="473"/>
      <c r="NHG12" s="473"/>
      <c r="NHH12" s="473"/>
      <c r="NHI12" s="473"/>
      <c r="NHJ12" s="473"/>
      <c r="NHK12" s="473"/>
      <c r="NHL12" s="473"/>
      <c r="NHM12" s="473"/>
      <c r="NHN12" s="473"/>
      <c r="NHO12" s="473"/>
      <c r="NHP12" s="473"/>
      <c r="NHQ12" s="473"/>
      <c r="NHR12" s="473"/>
      <c r="NHS12" s="473"/>
      <c r="NHT12" s="473"/>
      <c r="NHU12" s="473"/>
      <c r="NHV12" s="473"/>
      <c r="NHW12" s="473"/>
      <c r="NHX12" s="473"/>
      <c r="NHY12" s="473"/>
      <c r="NHZ12" s="473"/>
      <c r="NIA12" s="473"/>
      <c r="NIB12" s="473"/>
      <c r="NIC12" s="473"/>
      <c r="NID12" s="473"/>
      <c r="NIE12" s="473"/>
      <c r="NIF12" s="473"/>
      <c r="NIG12" s="473"/>
      <c r="NIH12" s="473"/>
      <c r="NII12" s="473"/>
      <c r="NIJ12" s="473"/>
      <c r="NIK12" s="473"/>
      <c r="NIL12" s="473"/>
      <c r="NIM12" s="473"/>
      <c r="NIN12" s="473"/>
      <c r="NIO12" s="473"/>
      <c r="NIP12" s="473"/>
      <c r="NIQ12" s="473"/>
      <c r="NIR12" s="473"/>
      <c r="NIS12" s="473"/>
      <c r="NIT12" s="473"/>
      <c r="NIU12" s="473"/>
      <c r="NIV12" s="473"/>
      <c r="NIW12" s="473"/>
      <c r="NIX12" s="473"/>
      <c r="NIY12" s="473"/>
      <c r="NIZ12" s="473"/>
      <c r="NJA12" s="473"/>
      <c r="NJB12" s="473"/>
      <c r="NJC12" s="473"/>
      <c r="NJD12" s="473"/>
      <c r="NJE12" s="473"/>
      <c r="NJF12" s="473"/>
      <c r="NJG12" s="473"/>
      <c r="NJH12" s="473"/>
      <c r="NJI12" s="473"/>
      <c r="NJJ12" s="473"/>
      <c r="NJK12" s="473"/>
      <c r="NJL12" s="473"/>
      <c r="NJM12" s="473"/>
      <c r="NJN12" s="473"/>
      <c r="NJO12" s="473"/>
      <c r="NJP12" s="473"/>
      <c r="NJQ12" s="473"/>
      <c r="NJR12" s="473"/>
      <c r="NJS12" s="473"/>
      <c r="NJT12" s="473"/>
      <c r="NJU12" s="473"/>
      <c r="NJV12" s="473"/>
      <c r="NJW12" s="473"/>
      <c r="NJX12" s="473"/>
      <c r="NJY12" s="473"/>
      <c r="NJZ12" s="473"/>
      <c r="NKA12" s="473"/>
      <c r="NKB12" s="473"/>
      <c r="NKC12" s="473"/>
      <c r="NKD12" s="473"/>
      <c r="NKE12" s="473"/>
      <c r="NKF12" s="473"/>
      <c r="NKG12" s="473"/>
      <c r="NKH12" s="473"/>
      <c r="NKI12" s="473"/>
      <c r="NKJ12" s="473"/>
      <c r="NKK12" s="473"/>
      <c r="NKL12" s="473"/>
      <c r="NKM12" s="473"/>
      <c r="NKN12" s="473"/>
      <c r="NKO12" s="473"/>
      <c r="NKP12" s="473"/>
      <c r="NKQ12" s="473"/>
      <c r="NKR12" s="473"/>
      <c r="NKS12" s="473"/>
      <c r="NKT12" s="473"/>
      <c r="NKU12" s="473"/>
      <c r="NKV12" s="473"/>
      <c r="NKW12" s="473"/>
      <c r="NKX12" s="473"/>
      <c r="NKY12" s="473"/>
      <c r="NKZ12" s="473"/>
      <c r="NLA12" s="473"/>
      <c r="NLB12" s="473"/>
      <c r="NLC12" s="473"/>
      <c r="NLD12" s="473"/>
      <c r="NLE12" s="473"/>
      <c r="NLF12" s="473"/>
      <c r="NLG12" s="473"/>
      <c r="NLH12" s="473"/>
      <c r="NLI12" s="473"/>
      <c r="NLJ12" s="473"/>
      <c r="NLK12" s="473"/>
      <c r="NLL12" s="473"/>
      <c r="NLM12" s="473"/>
      <c r="NLN12" s="473"/>
      <c r="NLO12" s="473"/>
      <c r="NLP12" s="473"/>
      <c r="NLQ12" s="473"/>
      <c r="NLR12" s="473"/>
      <c r="NLS12" s="473"/>
      <c r="NLT12" s="473"/>
      <c r="NLU12" s="473"/>
      <c r="NLV12" s="473"/>
      <c r="NLW12" s="473"/>
      <c r="NLX12" s="473"/>
      <c r="NLY12" s="473"/>
      <c r="NLZ12" s="473"/>
      <c r="NMA12" s="473"/>
      <c r="NMB12" s="473"/>
      <c r="NMC12" s="473"/>
      <c r="NMD12" s="473"/>
      <c r="NME12" s="473"/>
      <c r="NMF12" s="473"/>
      <c r="NMG12" s="473"/>
      <c r="NMH12" s="473"/>
      <c r="NMI12" s="473"/>
      <c r="NMJ12" s="473"/>
      <c r="NMK12" s="473"/>
      <c r="NML12" s="473"/>
      <c r="NMM12" s="473"/>
      <c r="NMN12" s="473"/>
      <c r="NMO12" s="473"/>
      <c r="NMP12" s="473"/>
      <c r="NMQ12" s="473"/>
      <c r="NMR12" s="473"/>
      <c r="NMS12" s="473"/>
      <c r="NMT12" s="473"/>
      <c r="NMU12" s="473"/>
      <c r="NMV12" s="473"/>
      <c r="NMW12" s="473"/>
      <c r="NMX12" s="473"/>
      <c r="NMY12" s="473"/>
      <c r="NMZ12" s="473"/>
      <c r="NNA12" s="473"/>
      <c r="NNB12" s="473"/>
      <c r="NNC12" s="473"/>
      <c r="NND12" s="473"/>
      <c r="NNE12" s="473"/>
      <c r="NNF12" s="473"/>
      <c r="NNG12" s="473"/>
      <c r="NNH12" s="473"/>
      <c r="NNI12" s="473"/>
      <c r="NNJ12" s="473"/>
      <c r="NNK12" s="473"/>
      <c r="NNL12" s="473"/>
      <c r="NNM12" s="473"/>
      <c r="NNN12" s="473"/>
      <c r="NNO12" s="473"/>
      <c r="NNP12" s="473"/>
      <c r="NNQ12" s="473"/>
      <c r="NNR12" s="473"/>
      <c r="NNS12" s="473"/>
      <c r="NNT12" s="473"/>
      <c r="NNU12" s="473"/>
      <c r="NNV12" s="473"/>
      <c r="NNW12" s="473"/>
      <c r="NNX12" s="473"/>
      <c r="NNY12" s="473"/>
      <c r="NNZ12" s="473"/>
      <c r="NOA12" s="473"/>
      <c r="NOB12" s="473"/>
      <c r="NOC12" s="473"/>
      <c r="NOD12" s="473"/>
      <c r="NOE12" s="473"/>
      <c r="NOF12" s="473"/>
      <c r="NOG12" s="473"/>
      <c r="NOH12" s="473"/>
      <c r="NOI12" s="473"/>
      <c r="NOJ12" s="473"/>
      <c r="NOK12" s="473"/>
      <c r="NOL12" s="473"/>
      <c r="NOM12" s="473"/>
      <c r="NON12" s="473"/>
      <c r="NOO12" s="473"/>
      <c r="NOP12" s="473"/>
      <c r="NOQ12" s="473"/>
      <c r="NOR12" s="473"/>
      <c r="NOS12" s="473"/>
      <c r="NOT12" s="473"/>
      <c r="NOU12" s="473"/>
      <c r="NOV12" s="473"/>
      <c r="NOW12" s="473"/>
      <c r="NOX12" s="473"/>
      <c r="NOY12" s="473"/>
      <c r="NOZ12" s="473"/>
      <c r="NPA12" s="473"/>
      <c r="NPB12" s="473"/>
      <c r="NPC12" s="473"/>
      <c r="NPD12" s="473"/>
      <c r="NPE12" s="473"/>
      <c r="NPF12" s="473"/>
      <c r="NPG12" s="473"/>
      <c r="NPH12" s="473"/>
      <c r="NPI12" s="473"/>
      <c r="NPJ12" s="473"/>
      <c r="NPK12" s="473"/>
      <c r="NPL12" s="473"/>
      <c r="NPM12" s="473"/>
      <c r="NPN12" s="473"/>
      <c r="NPO12" s="473"/>
      <c r="NPP12" s="473"/>
      <c r="NPQ12" s="473"/>
      <c r="NPR12" s="473"/>
      <c r="NPS12" s="473"/>
      <c r="NPT12" s="473"/>
      <c r="NPU12" s="473"/>
      <c r="NPV12" s="473"/>
      <c r="NPW12" s="473"/>
      <c r="NPX12" s="473"/>
      <c r="NPY12" s="473"/>
      <c r="NPZ12" s="473"/>
      <c r="NQA12" s="473"/>
      <c r="NQB12" s="473"/>
      <c r="NQC12" s="473"/>
      <c r="NQD12" s="473"/>
      <c r="NQE12" s="473"/>
      <c r="NQF12" s="473"/>
      <c r="NQG12" s="473"/>
      <c r="NQH12" s="473"/>
      <c r="NQI12" s="473"/>
      <c r="NQJ12" s="473"/>
      <c r="NQK12" s="473"/>
      <c r="NQL12" s="473"/>
      <c r="NQM12" s="473"/>
      <c r="NQN12" s="473"/>
      <c r="NQO12" s="473"/>
      <c r="NQP12" s="473"/>
      <c r="NQQ12" s="473"/>
      <c r="NQR12" s="473"/>
      <c r="NQS12" s="473"/>
      <c r="NQT12" s="473"/>
      <c r="NQU12" s="473"/>
      <c r="NQV12" s="473"/>
      <c r="NQW12" s="473"/>
      <c r="NQX12" s="473"/>
      <c r="NQY12" s="473"/>
      <c r="NQZ12" s="473"/>
      <c r="NRA12" s="473"/>
      <c r="NRB12" s="473"/>
      <c r="NRC12" s="473"/>
      <c r="NRD12" s="473"/>
      <c r="NRE12" s="473"/>
      <c r="NRF12" s="473"/>
      <c r="NRG12" s="473"/>
      <c r="NRH12" s="473"/>
      <c r="NRI12" s="473"/>
      <c r="NRJ12" s="473"/>
      <c r="NRK12" s="473"/>
      <c r="NRL12" s="473"/>
      <c r="NRM12" s="473"/>
      <c r="NRN12" s="473"/>
      <c r="NRO12" s="473"/>
      <c r="NRP12" s="473"/>
      <c r="NRQ12" s="473"/>
      <c r="NRR12" s="473"/>
      <c r="NRS12" s="473"/>
      <c r="NRT12" s="473"/>
      <c r="NRU12" s="473"/>
      <c r="NRV12" s="473"/>
      <c r="NRW12" s="473"/>
      <c r="NRX12" s="473"/>
      <c r="NRY12" s="473"/>
      <c r="NRZ12" s="473"/>
      <c r="NSA12" s="473"/>
      <c r="NSB12" s="473"/>
      <c r="NSC12" s="473"/>
      <c r="NSD12" s="473"/>
      <c r="NSE12" s="473"/>
      <c r="NSF12" s="473"/>
      <c r="NSG12" s="473"/>
      <c r="NSH12" s="473"/>
      <c r="NSI12" s="473"/>
      <c r="NSJ12" s="473"/>
      <c r="NSK12" s="473"/>
      <c r="NSL12" s="473"/>
      <c r="NSM12" s="473"/>
      <c r="NSN12" s="473"/>
      <c r="NSO12" s="473"/>
      <c r="NSP12" s="473"/>
      <c r="NSQ12" s="473"/>
      <c r="NSR12" s="473"/>
      <c r="NSS12" s="473"/>
      <c r="NST12" s="473"/>
      <c r="NSU12" s="473"/>
      <c r="NSV12" s="473"/>
      <c r="NSW12" s="473"/>
      <c r="NSX12" s="473"/>
      <c r="NSY12" s="473"/>
      <c r="NSZ12" s="473"/>
      <c r="NTA12" s="473"/>
      <c r="NTB12" s="473"/>
      <c r="NTC12" s="473"/>
      <c r="NTD12" s="473"/>
      <c r="NTE12" s="473"/>
      <c r="NTF12" s="473"/>
      <c r="NTG12" s="473"/>
      <c r="NTH12" s="473"/>
      <c r="NTI12" s="473"/>
      <c r="NTJ12" s="473"/>
      <c r="NTK12" s="473"/>
      <c r="NTL12" s="473"/>
      <c r="NTM12" s="473"/>
      <c r="NTN12" s="473"/>
      <c r="NTO12" s="473"/>
      <c r="NTP12" s="473"/>
      <c r="NTQ12" s="473"/>
      <c r="NTR12" s="473"/>
      <c r="NTS12" s="473"/>
      <c r="NTT12" s="473"/>
      <c r="NTU12" s="473"/>
      <c r="NTV12" s="473"/>
      <c r="NTW12" s="473"/>
      <c r="NTX12" s="473"/>
      <c r="NTY12" s="473"/>
      <c r="NTZ12" s="473"/>
      <c r="NUA12" s="473"/>
      <c r="NUB12" s="473"/>
      <c r="NUC12" s="473"/>
      <c r="NUD12" s="473"/>
      <c r="NUE12" s="473"/>
      <c r="NUF12" s="473"/>
      <c r="NUG12" s="473"/>
      <c r="NUH12" s="473"/>
      <c r="NUI12" s="473"/>
      <c r="NUJ12" s="473"/>
      <c r="NUK12" s="473"/>
      <c r="NUL12" s="473"/>
      <c r="NUM12" s="473"/>
      <c r="NUN12" s="473"/>
      <c r="NUO12" s="473"/>
      <c r="NUP12" s="473"/>
      <c r="NUQ12" s="473"/>
      <c r="NUR12" s="473"/>
      <c r="NUS12" s="473"/>
      <c r="NUT12" s="473"/>
      <c r="NUU12" s="473"/>
      <c r="NUV12" s="473"/>
      <c r="NUW12" s="473"/>
      <c r="NUX12" s="473"/>
      <c r="NUY12" s="473"/>
      <c r="NUZ12" s="473"/>
      <c r="NVA12" s="473"/>
      <c r="NVB12" s="473"/>
      <c r="NVC12" s="473"/>
      <c r="NVD12" s="473"/>
      <c r="NVE12" s="473"/>
      <c r="NVF12" s="473"/>
      <c r="NVG12" s="473"/>
      <c r="NVH12" s="473"/>
      <c r="NVI12" s="473"/>
      <c r="NVJ12" s="473"/>
      <c r="NVK12" s="473"/>
      <c r="NVL12" s="473"/>
      <c r="NVM12" s="473"/>
      <c r="NVN12" s="473"/>
      <c r="NVO12" s="473"/>
      <c r="NVP12" s="473"/>
      <c r="NVQ12" s="473"/>
      <c r="NVR12" s="473"/>
      <c r="NVS12" s="473"/>
      <c r="NVT12" s="473"/>
      <c r="NVU12" s="473"/>
      <c r="NVV12" s="473"/>
      <c r="NVW12" s="473"/>
      <c r="NVX12" s="473"/>
      <c r="NVY12" s="473"/>
      <c r="NVZ12" s="473"/>
      <c r="NWA12" s="473"/>
      <c r="NWB12" s="473"/>
      <c r="NWC12" s="473"/>
      <c r="NWD12" s="473"/>
      <c r="NWE12" s="473"/>
      <c r="NWF12" s="473"/>
      <c r="NWG12" s="473"/>
      <c r="NWH12" s="473"/>
      <c r="NWI12" s="473"/>
      <c r="NWJ12" s="473"/>
      <c r="NWK12" s="473"/>
      <c r="NWL12" s="473"/>
      <c r="NWM12" s="473"/>
      <c r="NWN12" s="473"/>
      <c r="NWO12" s="473"/>
      <c r="NWP12" s="473"/>
      <c r="NWQ12" s="473"/>
      <c r="NWR12" s="473"/>
      <c r="NWS12" s="473"/>
      <c r="NWT12" s="473"/>
      <c r="NWU12" s="473"/>
      <c r="NWV12" s="473"/>
      <c r="NWW12" s="473"/>
      <c r="NWX12" s="473"/>
      <c r="NWY12" s="473"/>
      <c r="NWZ12" s="473"/>
      <c r="NXA12" s="473"/>
      <c r="NXB12" s="473"/>
      <c r="NXC12" s="473"/>
      <c r="NXD12" s="473"/>
      <c r="NXE12" s="473"/>
      <c r="NXF12" s="473"/>
      <c r="NXG12" s="473"/>
      <c r="NXH12" s="473"/>
      <c r="NXI12" s="473"/>
      <c r="NXJ12" s="473"/>
      <c r="NXK12" s="473"/>
      <c r="NXL12" s="473"/>
      <c r="NXM12" s="473"/>
      <c r="NXN12" s="473"/>
      <c r="NXO12" s="473"/>
      <c r="NXP12" s="473"/>
      <c r="NXQ12" s="473"/>
      <c r="NXR12" s="473"/>
      <c r="NXS12" s="473"/>
      <c r="NXT12" s="473"/>
      <c r="NXU12" s="473"/>
      <c r="NXV12" s="473"/>
      <c r="NXW12" s="473"/>
      <c r="NXX12" s="473"/>
      <c r="NXY12" s="473"/>
      <c r="NXZ12" s="473"/>
      <c r="NYA12" s="473"/>
      <c r="NYB12" s="473"/>
      <c r="NYC12" s="473"/>
      <c r="NYD12" s="473"/>
      <c r="NYE12" s="473"/>
      <c r="NYF12" s="473"/>
      <c r="NYG12" s="473"/>
      <c r="NYH12" s="473"/>
      <c r="NYI12" s="473"/>
      <c r="NYJ12" s="473"/>
      <c r="NYK12" s="473"/>
      <c r="NYL12" s="473"/>
      <c r="NYM12" s="473"/>
      <c r="NYN12" s="473"/>
      <c r="NYO12" s="473"/>
      <c r="NYP12" s="473"/>
      <c r="NYQ12" s="473"/>
      <c r="NYR12" s="473"/>
      <c r="NYS12" s="473"/>
      <c r="NYT12" s="473"/>
      <c r="NYU12" s="473"/>
      <c r="NYV12" s="473"/>
      <c r="NYW12" s="473"/>
      <c r="NYX12" s="473"/>
      <c r="NYY12" s="473"/>
      <c r="NYZ12" s="473"/>
      <c r="NZA12" s="473"/>
      <c r="NZB12" s="473"/>
      <c r="NZC12" s="473"/>
      <c r="NZD12" s="473"/>
      <c r="NZE12" s="473"/>
      <c r="NZF12" s="473"/>
      <c r="NZG12" s="473"/>
      <c r="NZH12" s="473"/>
      <c r="NZI12" s="473"/>
      <c r="NZJ12" s="473"/>
      <c r="NZK12" s="473"/>
      <c r="NZL12" s="473"/>
      <c r="NZM12" s="473"/>
      <c r="NZN12" s="473"/>
      <c r="NZO12" s="473"/>
      <c r="NZP12" s="473"/>
      <c r="NZQ12" s="473"/>
      <c r="NZR12" s="473"/>
      <c r="NZS12" s="473"/>
      <c r="NZT12" s="473"/>
      <c r="NZU12" s="473"/>
      <c r="NZV12" s="473"/>
      <c r="NZW12" s="473"/>
      <c r="NZX12" s="473"/>
      <c r="NZY12" s="473"/>
      <c r="NZZ12" s="473"/>
      <c r="OAA12" s="473"/>
      <c r="OAB12" s="473"/>
      <c r="OAC12" s="473"/>
      <c r="OAD12" s="473"/>
      <c r="OAE12" s="473"/>
      <c r="OAF12" s="473"/>
      <c r="OAG12" s="473"/>
      <c r="OAH12" s="473"/>
      <c r="OAI12" s="473"/>
      <c r="OAJ12" s="473"/>
      <c r="OAK12" s="473"/>
      <c r="OAL12" s="473"/>
      <c r="OAM12" s="473"/>
      <c r="OAN12" s="473"/>
      <c r="OAO12" s="473"/>
      <c r="OAP12" s="473"/>
      <c r="OAQ12" s="473"/>
      <c r="OAR12" s="473"/>
      <c r="OAS12" s="473"/>
      <c r="OAT12" s="473"/>
      <c r="OAU12" s="473"/>
      <c r="OAV12" s="473"/>
      <c r="OAW12" s="473"/>
      <c r="OAX12" s="473"/>
      <c r="OAY12" s="473"/>
      <c r="OAZ12" s="473"/>
      <c r="OBA12" s="473"/>
      <c r="OBB12" s="473"/>
      <c r="OBC12" s="473"/>
      <c r="OBD12" s="473"/>
      <c r="OBE12" s="473"/>
      <c r="OBF12" s="473"/>
      <c r="OBG12" s="473"/>
      <c r="OBH12" s="473"/>
      <c r="OBI12" s="473"/>
      <c r="OBJ12" s="473"/>
      <c r="OBK12" s="473"/>
      <c r="OBL12" s="473"/>
      <c r="OBM12" s="473"/>
      <c r="OBN12" s="473"/>
      <c r="OBO12" s="473"/>
      <c r="OBP12" s="473"/>
      <c r="OBQ12" s="473"/>
      <c r="OBR12" s="473"/>
      <c r="OBS12" s="473"/>
      <c r="OBT12" s="473"/>
      <c r="OBU12" s="473"/>
      <c r="OBV12" s="473"/>
      <c r="OBW12" s="473"/>
      <c r="OBX12" s="473"/>
      <c r="OBY12" s="473"/>
      <c r="OBZ12" s="473"/>
      <c r="OCA12" s="473"/>
      <c r="OCB12" s="473"/>
      <c r="OCC12" s="473"/>
      <c r="OCD12" s="473"/>
      <c r="OCE12" s="473"/>
      <c r="OCF12" s="473"/>
      <c r="OCG12" s="473"/>
      <c r="OCH12" s="473"/>
      <c r="OCI12" s="473"/>
      <c r="OCJ12" s="473"/>
      <c r="OCK12" s="473"/>
      <c r="OCL12" s="473"/>
      <c r="OCM12" s="473"/>
      <c r="OCN12" s="473"/>
      <c r="OCO12" s="473"/>
      <c r="OCP12" s="473"/>
      <c r="OCQ12" s="473"/>
      <c r="OCR12" s="473"/>
      <c r="OCS12" s="473"/>
      <c r="OCT12" s="473"/>
      <c r="OCU12" s="473"/>
      <c r="OCV12" s="473"/>
      <c r="OCW12" s="473"/>
      <c r="OCX12" s="473"/>
      <c r="OCY12" s="473"/>
      <c r="OCZ12" s="473"/>
      <c r="ODA12" s="473"/>
      <c r="ODB12" s="473"/>
      <c r="ODC12" s="473"/>
      <c r="ODD12" s="473"/>
      <c r="ODE12" s="473"/>
      <c r="ODF12" s="473"/>
      <c r="ODG12" s="473"/>
      <c r="ODH12" s="473"/>
      <c r="ODI12" s="473"/>
      <c r="ODJ12" s="473"/>
      <c r="ODK12" s="473"/>
      <c r="ODL12" s="473"/>
      <c r="ODM12" s="473"/>
      <c r="ODN12" s="473"/>
      <c r="ODO12" s="473"/>
      <c r="ODP12" s="473"/>
      <c r="ODQ12" s="473"/>
      <c r="ODR12" s="473"/>
      <c r="ODS12" s="473"/>
      <c r="ODT12" s="473"/>
      <c r="ODU12" s="473"/>
      <c r="ODV12" s="473"/>
      <c r="ODW12" s="473"/>
      <c r="ODX12" s="473"/>
      <c r="ODY12" s="473"/>
      <c r="ODZ12" s="473"/>
      <c r="OEA12" s="473"/>
      <c r="OEB12" s="473"/>
      <c r="OEC12" s="473"/>
      <c r="OED12" s="473"/>
      <c r="OEE12" s="473"/>
      <c r="OEF12" s="473"/>
      <c r="OEG12" s="473"/>
      <c r="OEH12" s="473"/>
      <c r="OEI12" s="473"/>
      <c r="OEJ12" s="473"/>
      <c r="OEK12" s="473"/>
      <c r="OEL12" s="473"/>
      <c r="OEM12" s="473"/>
      <c r="OEN12" s="473"/>
      <c r="OEO12" s="473"/>
      <c r="OEP12" s="473"/>
      <c r="OEQ12" s="473"/>
      <c r="OER12" s="473"/>
      <c r="OES12" s="473"/>
      <c r="OET12" s="473"/>
      <c r="OEU12" s="473"/>
      <c r="OEV12" s="473"/>
      <c r="OEW12" s="473"/>
      <c r="OEX12" s="473"/>
      <c r="OEY12" s="473"/>
      <c r="OEZ12" s="473"/>
      <c r="OFA12" s="473"/>
      <c r="OFB12" s="473"/>
      <c r="OFC12" s="473"/>
      <c r="OFD12" s="473"/>
      <c r="OFE12" s="473"/>
      <c r="OFF12" s="473"/>
      <c r="OFG12" s="473"/>
      <c r="OFH12" s="473"/>
      <c r="OFI12" s="473"/>
      <c r="OFJ12" s="473"/>
      <c r="OFK12" s="473"/>
      <c r="OFL12" s="473"/>
      <c r="OFM12" s="473"/>
      <c r="OFN12" s="473"/>
      <c r="OFO12" s="473"/>
      <c r="OFP12" s="473"/>
      <c r="OFQ12" s="473"/>
      <c r="OFR12" s="473"/>
      <c r="OFS12" s="473"/>
      <c r="OFT12" s="473"/>
      <c r="OFU12" s="473"/>
      <c r="OFV12" s="473"/>
      <c r="OFW12" s="473"/>
      <c r="OFX12" s="473"/>
      <c r="OFY12" s="473"/>
      <c r="OFZ12" s="473"/>
      <c r="OGA12" s="473"/>
      <c r="OGB12" s="473"/>
      <c r="OGC12" s="473"/>
      <c r="OGD12" s="473"/>
      <c r="OGE12" s="473"/>
      <c r="OGF12" s="473"/>
      <c r="OGG12" s="473"/>
      <c r="OGH12" s="473"/>
      <c r="OGI12" s="473"/>
      <c r="OGJ12" s="473"/>
      <c r="OGK12" s="473"/>
      <c r="OGL12" s="473"/>
      <c r="OGM12" s="473"/>
      <c r="OGN12" s="473"/>
      <c r="OGO12" s="473"/>
      <c r="OGP12" s="473"/>
      <c r="OGQ12" s="473"/>
      <c r="OGR12" s="473"/>
      <c r="OGS12" s="473"/>
      <c r="OGT12" s="473"/>
      <c r="OGU12" s="473"/>
      <c r="OGV12" s="473"/>
      <c r="OGW12" s="473"/>
      <c r="OGX12" s="473"/>
      <c r="OGY12" s="473"/>
      <c r="OGZ12" s="473"/>
      <c r="OHA12" s="473"/>
      <c r="OHB12" s="473"/>
      <c r="OHC12" s="473"/>
      <c r="OHD12" s="473"/>
      <c r="OHE12" s="473"/>
      <c r="OHF12" s="473"/>
      <c r="OHG12" s="473"/>
      <c r="OHH12" s="473"/>
      <c r="OHI12" s="473"/>
      <c r="OHJ12" s="473"/>
      <c r="OHK12" s="473"/>
      <c r="OHL12" s="473"/>
      <c r="OHM12" s="473"/>
      <c r="OHN12" s="473"/>
      <c r="OHO12" s="473"/>
      <c r="OHP12" s="473"/>
      <c r="OHQ12" s="473"/>
      <c r="OHR12" s="473"/>
      <c r="OHS12" s="473"/>
      <c r="OHT12" s="473"/>
      <c r="OHU12" s="473"/>
      <c r="OHV12" s="473"/>
      <c r="OHW12" s="473"/>
      <c r="OHX12" s="473"/>
      <c r="OHY12" s="473"/>
      <c r="OHZ12" s="473"/>
      <c r="OIA12" s="473"/>
      <c r="OIB12" s="473"/>
      <c r="OIC12" s="473"/>
      <c r="OID12" s="473"/>
      <c r="OIE12" s="473"/>
      <c r="OIF12" s="473"/>
      <c r="OIG12" s="473"/>
      <c r="OIH12" s="473"/>
      <c r="OII12" s="473"/>
      <c r="OIJ12" s="473"/>
      <c r="OIK12" s="473"/>
      <c r="OIL12" s="473"/>
      <c r="OIM12" s="473"/>
      <c r="OIN12" s="473"/>
      <c r="OIO12" s="473"/>
      <c r="OIP12" s="473"/>
      <c r="OIQ12" s="473"/>
      <c r="OIR12" s="473"/>
      <c r="OIS12" s="473"/>
      <c r="OIT12" s="473"/>
      <c r="OIU12" s="473"/>
      <c r="OIV12" s="473"/>
      <c r="OIW12" s="473"/>
      <c r="OIX12" s="473"/>
      <c r="OIY12" s="473"/>
      <c r="OIZ12" s="473"/>
      <c r="OJA12" s="473"/>
      <c r="OJB12" s="473"/>
      <c r="OJC12" s="473"/>
      <c r="OJD12" s="473"/>
      <c r="OJE12" s="473"/>
      <c r="OJF12" s="473"/>
      <c r="OJG12" s="473"/>
      <c r="OJH12" s="473"/>
      <c r="OJI12" s="473"/>
      <c r="OJJ12" s="473"/>
      <c r="OJK12" s="473"/>
      <c r="OJL12" s="473"/>
      <c r="OJM12" s="473"/>
      <c r="OJN12" s="473"/>
      <c r="OJO12" s="473"/>
      <c r="OJP12" s="473"/>
      <c r="OJQ12" s="473"/>
      <c r="OJR12" s="473"/>
      <c r="OJS12" s="473"/>
      <c r="OJT12" s="473"/>
      <c r="OJU12" s="473"/>
      <c r="OJV12" s="473"/>
      <c r="OJW12" s="473"/>
      <c r="OJX12" s="473"/>
      <c r="OJY12" s="473"/>
      <c r="OJZ12" s="473"/>
      <c r="OKA12" s="473"/>
      <c r="OKB12" s="473"/>
      <c r="OKC12" s="473"/>
      <c r="OKD12" s="473"/>
      <c r="OKE12" s="473"/>
      <c r="OKF12" s="473"/>
      <c r="OKG12" s="473"/>
      <c r="OKH12" s="473"/>
      <c r="OKI12" s="473"/>
      <c r="OKJ12" s="473"/>
      <c r="OKK12" s="473"/>
      <c r="OKL12" s="473"/>
      <c r="OKM12" s="473"/>
      <c r="OKN12" s="473"/>
      <c r="OKO12" s="473"/>
      <c r="OKP12" s="473"/>
      <c r="OKQ12" s="473"/>
      <c r="OKR12" s="473"/>
      <c r="OKS12" s="473"/>
      <c r="OKT12" s="473"/>
      <c r="OKU12" s="473"/>
      <c r="OKV12" s="473"/>
      <c r="OKW12" s="473"/>
      <c r="OKX12" s="473"/>
      <c r="OKY12" s="473"/>
      <c r="OKZ12" s="473"/>
      <c r="OLA12" s="473"/>
      <c r="OLB12" s="473"/>
      <c r="OLC12" s="473"/>
      <c r="OLD12" s="473"/>
      <c r="OLE12" s="473"/>
      <c r="OLF12" s="473"/>
      <c r="OLG12" s="473"/>
      <c r="OLH12" s="473"/>
      <c r="OLI12" s="473"/>
      <c r="OLJ12" s="473"/>
      <c r="OLK12" s="473"/>
      <c r="OLL12" s="473"/>
      <c r="OLM12" s="473"/>
      <c r="OLN12" s="473"/>
      <c r="OLO12" s="473"/>
      <c r="OLP12" s="473"/>
      <c r="OLQ12" s="473"/>
      <c r="OLR12" s="473"/>
      <c r="OLS12" s="473"/>
      <c r="OLT12" s="473"/>
      <c r="OLU12" s="473"/>
      <c r="OLV12" s="473"/>
      <c r="OLW12" s="473"/>
      <c r="OLX12" s="473"/>
      <c r="OLY12" s="473"/>
      <c r="OLZ12" s="473"/>
      <c r="OMA12" s="473"/>
      <c r="OMB12" s="473"/>
      <c r="OMC12" s="473"/>
      <c r="OMD12" s="473"/>
      <c r="OME12" s="473"/>
      <c r="OMF12" s="473"/>
      <c r="OMG12" s="473"/>
      <c r="OMH12" s="473"/>
      <c r="OMI12" s="473"/>
      <c r="OMJ12" s="473"/>
      <c r="OMK12" s="473"/>
      <c r="OML12" s="473"/>
      <c r="OMM12" s="473"/>
      <c r="OMN12" s="473"/>
      <c r="OMO12" s="473"/>
      <c r="OMP12" s="473"/>
      <c r="OMQ12" s="473"/>
      <c r="OMR12" s="473"/>
      <c r="OMS12" s="473"/>
      <c r="OMT12" s="473"/>
      <c r="OMU12" s="473"/>
      <c r="OMV12" s="473"/>
      <c r="OMW12" s="473"/>
      <c r="OMX12" s="473"/>
      <c r="OMY12" s="473"/>
      <c r="OMZ12" s="473"/>
      <c r="ONA12" s="473"/>
      <c r="ONB12" s="473"/>
      <c r="ONC12" s="473"/>
      <c r="OND12" s="473"/>
      <c r="ONE12" s="473"/>
      <c r="ONF12" s="473"/>
      <c r="ONG12" s="473"/>
      <c r="ONH12" s="473"/>
      <c r="ONI12" s="473"/>
      <c r="ONJ12" s="473"/>
      <c r="ONK12" s="473"/>
      <c r="ONL12" s="473"/>
      <c r="ONM12" s="473"/>
      <c r="ONN12" s="473"/>
      <c r="ONO12" s="473"/>
      <c r="ONP12" s="473"/>
      <c r="ONQ12" s="473"/>
      <c r="ONR12" s="473"/>
      <c r="ONS12" s="473"/>
      <c r="ONT12" s="473"/>
      <c r="ONU12" s="473"/>
      <c r="ONV12" s="473"/>
      <c r="ONW12" s="473"/>
      <c r="ONX12" s="473"/>
      <c r="ONY12" s="473"/>
      <c r="ONZ12" s="473"/>
      <c r="OOA12" s="473"/>
      <c r="OOB12" s="473"/>
      <c r="OOC12" s="473"/>
      <c r="OOD12" s="473"/>
      <c r="OOE12" s="473"/>
      <c r="OOF12" s="473"/>
      <c r="OOG12" s="473"/>
      <c r="OOH12" s="473"/>
      <c r="OOI12" s="473"/>
      <c r="OOJ12" s="473"/>
      <c r="OOK12" s="473"/>
      <c r="OOL12" s="473"/>
      <c r="OOM12" s="473"/>
      <c r="OON12" s="473"/>
      <c r="OOO12" s="473"/>
      <c r="OOP12" s="473"/>
      <c r="OOQ12" s="473"/>
      <c r="OOR12" s="473"/>
      <c r="OOS12" s="473"/>
      <c r="OOT12" s="473"/>
      <c r="OOU12" s="473"/>
      <c r="OOV12" s="473"/>
      <c r="OOW12" s="473"/>
      <c r="OOX12" s="473"/>
      <c r="OOY12" s="473"/>
      <c r="OOZ12" s="473"/>
      <c r="OPA12" s="473"/>
      <c r="OPB12" s="473"/>
      <c r="OPC12" s="473"/>
      <c r="OPD12" s="473"/>
      <c r="OPE12" s="473"/>
      <c r="OPF12" s="473"/>
      <c r="OPG12" s="473"/>
      <c r="OPH12" s="473"/>
      <c r="OPI12" s="473"/>
      <c r="OPJ12" s="473"/>
      <c r="OPK12" s="473"/>
      <c r="OPL12" s="473"/>
      <c r="OPM12" s="473"/>
      <c r="OPN12" s="473"/>
      <c r="OPO12" s="473"/>
      <c r="OPP12" s="473"/>
      <c r="OPQ12" s="473"/>
      <c r="OPR12" s="473"/>
      <c r="OPS12" s="473"/>
      <c r="OPT12" s="473"/>
      <c r="OPU12" s="473"/>
      <c r="OPV12" s="473"/>
      <c r="OPW12" s="473"/>
      <c r="OPX12" s="473"/>
      <c r="OPY12" s="473"/>
      <c r="OPZ12" s="473"/>
      <c r="OQA12" s="473"/>
      <c r="OQB12" s="473"/>
      <c r="OQC12" s="473"/>
      <c r="OQD12" s="473"/>
      <c r="OQE12" s="473"/>
      <c r="OQF12" s="473"/>
      <c r="OQG12" s="473"/>
      <c r="OQH12" s="473"/>
      <c r="OQI12" s="473"/>
      <c r="OQJ12" s="473"/>
      <c r="OQK12" s="473"/>
      <c r="OQL12" s="473"/>
      <c r="OQM12" s="473"/>
      <c r="OQN12" s="473"/>
      <c r="OQO12" s="473"/>
      <c r="OQP12" s="473"/>
      <c r="OQQ12" s="473"/>
      <c r="OQR12" s="473"/>
      <c r="OQS12" s="473"/>
      <c r="OQT12" s="473"/>
      <c r="OQU12" s="473"/>
      <c r="OQV12" s="473"/>
      <c r="OQW12" s="473"/>
      <c r="OQX12" s="473"/>
      <c r="OQY12" s="473"/>
      <c r="OQZ12" s="473"/>
      <c r="ORA12" s="473"/>
      <c r="ORB12" s="473"/>
      <c r="ORC12" s="473"/>
      <c r="ORD12" s="473"/>
      <c r="ORE12" s="473"/>
      <c r="ORF12" s="473"/>
      <c r="ORG12" s="473"/>
      <c r="ORH12" s="473"/>
      <c r="ORI12" s="473"/>
      <c r="ORJ12" s="473"/>
      <c r="ORK12" s="473"/>
      <c r="ORL12" s="473"/>
      <c r="ORM12" s="473"/>
      <c r="ORN12" s="473"/>
      <c r="ORO12" s="473"/>
      <c r="ORP12" s="473"/>
      <c r="ORQ12" s="473"/>
      <c r="ORR12" s="473"/>
      <c r="ORS12" s="473"/>
      <c r="ORT12" s="473"/>
      <c r="ORU12" s="473"/>
      <c r="ORV12" s="473"/>
      <c r="ORW12" s="473"/>
      <c r="ORX12" s="473"/>
      <c r="ORY12" s="473"/>
      <c r="ORZ12" s="473"/>
      <c r="OSA12" s="473"/>
      <c r="OSB12" s="473"/>
      <c r="OSC12" s="473"/>
      <c r="OSD12" s="473"/>
      <c r="OSE12" s="473"/>
      <c r="OSF12" s="473"/>
      <c r="OSG12" s="473"/>
      <c r="OSH12" s="473"/>
      <c r="OSI12" s="473"/>
      <c r="OSJ12" s="473"/>
      <c r="OSK12" s="473"/>
      <c r="OSL12" s="473"/>
      <c r="OSM12" s="473"/>
      <c r="OSN12" s="473"/>
      <c r="OSO12" s="473"/>
      <c r="OSP12" s="473"/>
      <c r="OSQ12" s="473"/>
      <c r="OSR12" s="473"/>
      <c r="OSS12" s="473"/>
      <c r="OST12" s="473"/>
      <c r="OSU12" s="473"/>
      <c r="OSV12" s="473"/>
      <c r="OSW12" s="473"/>
      <c r="OSX12" s="473"/>
      <c r="OSY12" s="473"/>
      <c r="OSZ12" s="473"/>
      <c r="OTA12" s="473"/>
      <c r="OTB12" s="473"/>
      <c r="OTC12" s="473"/>
      <c r="OTD12" s="473"/>
      <c r="OTE12" s="473"/>
      <c r="OTF12" s="473"/>
      <c r="OTG12" s="473"/>
      <c r="OTH12" s="473"/>
      <c r="OTI12" s="473"/>
      <c r="OTJ12" s="473"/>
      <c r="OTK12" s="473"/>
      <c r="OTL12" s="473"/>
      <c r="OTM12" s="473"/>
      <c r="OTN12" s="473"/>
      <c r="OTO12" s="473"/>
      <c r="OTP12" s="473"/>
      <c r="OTQ12" s="473"/>
      <c r="OTR12" s="473"/>
      <c r="OTS12" s="473"/>
      <c r="OTT12" s="473"/>
      <c r="OTU12" s="473"/>
      <c r="OTV12" s="473"/>
      <c r="OTW12" s="473"/>
      <c r="OTX12" s="473"/>
      <c r="OTY12" s="473"/>
      <c r="OTZ12" s="473"/>
      <c r="OUA12" s="473"/>
      <c r="OUB12" s="473"/>
      <c r="OUC12" s="473"/>
      <c r="OUD12" s="473"/>
      <c r="OUE12" s="473"/>
      <c r="OUF12" s="473"/>
      <c r="OUG12" s="473"/>
      <c r="OUH12" s="473"/>
      <c r="OUI12" s="473"/>
      <c r="OUJ12" s="473"/>
      <c r="OUK12" s="473"/>
      <c r="OUL12" s="473"/>
      <c r="OUM12" s="473"/>
      <c r="OUN12" s="473"/>
      <c r="OUO12" s="473"/>
      <c r="OUP12" s="473"/>
      <c r="OUQ12" s="473"/>
      <c r="OUR12" s="473"/>
      <c r="OUS12" s="473"/>
      <c r="OUT12" s="473"/>
      <c r="OUU12" s="473"/>
      <c r="OUV12" s="473"/>
      <c r="OUW12" s="473"/>
      <c r="OUX12" s="473"/>
      <c r="OUY12" s="473"/>
      <c r="OUZ12" s="473"/>
      <c r="OVA12" s="473"/>
      <c r="OVB12" s="473"/>
      <c r="OVC12" s="473"/>
      <c r="OVD12" s="473"/>
      <c r="OVE12" s="473"/>
      <c r="OVF12" s="473"/>
      <c r="OVG12" s="473"/>
      <c r="OVH12" s="473"/>
      <c r="OVI12" s="473"/>
      <c r="OVJ12" s="473"/>
      <c r="OVK12" s="473"/>
      <c r="OVL12" s="473"/>
      <c r="OVM12" s="473"/>
      <c r="OVN12" s="473"/>
      <c r="OVO12" s="473"/>
      <c r="OVP12" s="473"/>
      <c r="OVQ12" s="473"/>
      <c r="OVR12" s="473"/>
      <c r="OVS12" s="473"/>
      <c r="OVT12" s="473"/>
      <c r="OVU12" s="473"/>
      <c r="OVV12" s="473"/>
      <c r="OVW12" s="473"/>
      <c r="OVX12" s="473"/>
      <c r="OVY12" s="473"/>
      <c r="OVZ12" s="473"/>
      <c r="OWA12" s="473"/>
      <c r="OWB12" s="473"/>
      <c r="OWC12" s="473"/>
      <c r="OWD12" s="473"/>
      <c r="OWE12" s="473"/>
      <c r="OWF12" s="473"/>
      <c r="OWG12" s="473"/>
      <c r="OWH12" s="473"/>
      <c r="OWI12" s="473"/>
      <c r="OWJ12" s="473"/>
      <c r="OWK12" s="473"/>
      <c r="OWL12" s="473"/>
      <c r="OWM12" s="473"/>
      <c r="OWN12" s="473"/>
      <c r="OWO12" s="473"/>
      <c r="OWP12" s="473"/>
      <c r="OWQ12" s="473"/>
      <c r="OWR12" s="473"/>
      <c r="OWS12" s="473"/>
      <c r="OWT12" s="473"/>
      <c r="OWU12" s="473"/>
      <c r="OWV12" s="473"/>
      <c r="OWW12" s="473"/>
      <c r="OWX12" s="473"/>
      <c r="OWY12" s="473"/>
      <c r="OWZ12" s="473"/>
      <c r="OXA12" s="473"/>
      <c r="OXB12" s="473"/>
      <c r="OXC12" s="473"/>
      <c r="OXD12" s="473"/>
      <c r="OXE12" s="473"/>
      <c r="OXF12" s="473"/>
      <c r="OXG12" s="473"/>
      <c r="OXH12" s="473"/>
      <c r="OXI12" s="473"/>
      <c r="OXJ12" s="473"/>
      <c r="OXK12" s="473"/>
      <c r="OXL12" s="473"/>
      <c r="OXM12" s="473"/>
      <c r="OXN12" s="473"/>
      <c r="OXO12" s="473"/>
      <c r="OXP12" s="473"/>
      <c r="OXQ12" s="473"/>
      <c r="OXR12" s="473"/>
      <c r="OXS12" s="473"/>
      <c r="OXT12" s="473"/>
      <c r="OXU12" s="473"/>
      <c r="OXV12" s="473"/>
      <c r="OXW12" s="473"/>
      <c r="OXX12" s="473"/>
      <c r="OXY12" s="473"/>
      <c r="OXZ12" s="473"/>
      <c r="OYA12" s="473"/>
      <c r="OYB12" s="473"/>
      <c r="OYC12" s="473"/>
      <c r="OYD12" s="473"/>
      <c r="OYE12" s="473"/>
      <c r="OYF12" s="473"/>
      <c r="OYG12" s="473"/>
      <c r="OYH12" s="473"/>
      <c r="OYI12" s="473"/>
      <c r="OYJ12" s="473"/>
      <c r="OYK12" s="473"/>
      <c r="OYL12" s="473"/>
      <c r="OYM12" s="473"/>
      <c r="OYN12" s="473"/>
      <c r="OYO12" s="473"/>
      <c r="OYP12" s="473"/>
      <c r="OYQ12" s="473"/>
      <c r="OYR12" s="473"/>
      <c r="OYS12" s="473"/>
      <c r="OYT12" s="473"/>
      <c r="OYU12" s="473"/>
      <c r="OYV12" s="473"/>
      <c r="OYW12" s="473"/>
      <c r="OYX12" s="473"/>
      <c r="OYY12" s="473"/>
      <c r="OYZ12" s="473"/>
      <c r="OZA12" s="473"/>
      <c r="OZB12" s="473"/>
      <c r="OZC12" s="473"/>
      <c r="OZD12" s="473"/>
      <c r="OZE12" s="473"/>
      <c r="OZF12" s="473"/>
      <c r="OZG12" s="473"/>
      <c r="OZH12" s="473"/>
      <c r="OZI12" s="473"/>
      <c r="OZJ12" s="473"/>
      <c r="OZK12" s="473"/>
      <c r="OZL12" s="473"/>
      <c r="OZM12" s="473"/>
      <c r="OZN12" s="473"/>
      <c r="OZO12" s="473"/>
      <c r="OZP12" s="473"/>
      <c r="OZQ12" s="473"/>
      <c r="OZR12" s="473"/>
      <c r="OZS12" s="473"/>
      <c r="OZT12" s="473"/>
      <c r="OZU12" s="473"/>
      <c r="OZV12" s="473"/>
      <c r="OZW12" s="473"/>
      <c r="OZX12" s="473"/>
      <c r="OZY12" s="473"/>
      <c r="OZZ12" s="473"/>
      <c r="PAA12" s="473"/>
      <c r="PAB12" s="473"/>
      <c r="PAC12" s="473"/>
      <c r="PAD12" s="473"/>
      <c r="PAE12" s="473"/>
      <c r="PAF12" s="473"/>
      <c r="PAG12" s="473"/>
      <c r="PAH12" s="473"/>
      <c r="PAI12" s="473"/>
      <c r="PAJ12" s="473"/>
      <c r="PAK12" s="473"/>
      <c r="PAL12" s="473"/>
      <c r="PAM12" s="473"/>
      <c r="PAN12" s="473"/>
      <c r="PAO12" s="473"/>
      <c r="PAP12" s="473"/>
      <c r="PAQ12" s="473"/>
      <c r="PAR12" s="473"/>
      <c r="PAS12" s="473"/>
      <c r="PAT12" s="473"/>
      <c r="PAU12" s="473"/>
      <c r="PAV12" s="473"/>
      <c r="PAW12" s="473"/>
      <c r="PAX12" s="473"/>
      <c r="PAY12" s="473"/>
      <c r="PAZ12" s="473"/>
      <c r="PBA12" s="473"/>
      <c r="PBB12" s="473"/>
      <c r="PBC12" s="473"/>
      <c r="PBD12" s="473"/>
      <c r="PBE12" s="473"/>
      <c r="PBF12" s="473"/>
      <c r="PBG12" s="473"/>
      <c r="PBH12" s="473"/>
      <c r="PBI12" s="473"/>
      <c r="PBJ12" s="473"/>
      <c r="PBK12" s="473"/>
      <c r="PBL12" s="473"/>
      <c r="PBM12" s="473"/>
      <c r="PBN12" s="473"/>
      <c r="PBO12" s="473"/>
      <c r="PBP12" s="473"/>
      <c r="PBQ12" s="473"/>
      <c r="PBR12" s="473"/>
      <c r="PBS12" s="473"/>
      <c r="PBT12" s="473"/>
      <c r="PBU12" s="473"/>
      <c r="PBV12" s="473"/>
      <c r="PBW12" s="473"/>
      <c r="PBX12" s="473"/>
      <c r="PBY12" s="473"/>
      <c r="PBZ12" s="473"/>
      <c r="PCA12" s="473"/>
      <c r="PCB12" s="473"/>
      <c r="PCC12" s="473"/>
      <c r="PCD12" s="473"/>
      <c r="PCE12" s="473"/>
      <c r="PCF12" s="473"/>
      <c r="PCG12" s="473"/>
      <c r="PCH12" s="473"/>
      <c r="PCI12" s="473"/>
      <c r="PCJ12" s="473"/>
      <c r="PCK12" s="473"/>
      <c r="PCL12" s="473"/>
      <c r="PCM12" s="473"/>
      <c r="PCN12" s="473"/>
      <c r="PCO12" s="473"/>
      <c r="PCP12" s="473"/>
      <c r="PCQ12" s="473"/>
      <c r="PCR12" s="473"/>
      <c r="PCS12" s="473"/>
      <c r="PCT12" s="473"/>
      <c r="PCU12" s="473"/>
      <c r="PCV12" s="473"/>
      <c r="PCW12" s="473"/>
      <c r="PCX12" s="473"/>
      <c r="PCY12" s="473"/>
      <c r="PCZ12" s="473"/>
      <c r="PDA12" s="473"/>
      <c r="PDB12" s="473"/>
      <c r="PDC12" s="473"/>
      <c r="PDD12" s="473"/>
      <c r="PDE12" s="473"/>
      <c r="PDF12" s="473"/>
      <c r="PDG12" s="473"/>
      <c r="PDH12" s="473"/>
      <c r="PDI12" s="473"/>
      <c r="PDJ12" s="473"/>
      <c r="PDK12" s="473"/>
      <c r="PDL12" s="473"/>
      <c r="PDM12" s="473"/>
      <c r="PDN12" s="473"/>
      <c r="PDO12" s="473"/>
      <c r="PDP12" s="473"/>
      <c r="PDQ12" s="473"/>
      <c r="PDR12" s="473"/>
      <c r="PDS12" s="473"/>
      <c r="PDT12" s="473"/>
      <c r="PDU12" s="473"/>
      <c r="PDV12" s="473"/>
      <c r="PDW12" s="473"/>
      <c r="PDX12" s="473"/>
      <c r="PDY12" s="473"/>
      <c r="PDZ12" s="473"/>
      <c r="PEA12" s="473"/>
      <c r="PEB12" s="473"/>
      <c r="PEC12" s="473"/>
      <c r="PED12" s="473"/>
      <c r="PEE12" s="473"/>
      <c r="PEF12" s="473"/>
      <c r="PEG12" s="473"/>
      <c r="PEH12" s="473"/>
      <c r="PEI12" s="473"/>
      <c r="PEJ12" s="473"/>
      <c r="PEK12" s="473"/>
      <c r="PEL12" s="473"/>
      <c r="PEM12" s="473"/>
      <c r="PEN12" s="473"/>
      <c r="PEO12" s="473"/>
      <c r="PEP12" s="473"/>
      <c r="PEQ12" s="473"/>
      <c r="PER12" s="473"/>
      <c r="PES12" s="473"/>
      <c r="PET12" s="473"/>
      <c r="PEU12" s="473"/>
      <c r="PEV12" s="473"/>
      <c r="PEW12" s="473"/>
      <c r="PEX12" s="473"/>
      <c r="PEY12" s="473"/>
      <c r="PEZ12" s="473"/>
      <c r="PFA12" s="473"/>
      <c r="PFB12" s="473"/>
      <c r="PFC12" s="473"/>
      <c r="PFD12" s="473"/>
      <c r="PFE12" s="473"/>
      <c r="PFF12" s="473"/>
      <c r="PFG12" s="473"/>
      <c r="PFH12" s="473"/>
      <c r="PFI12" s="473"/>
      <c r="PFJ12" s="473"/>
      <c r="PFK12" s="473"/>
      <c r="PFL12" s="473"/>
      <c r="PFM12" s="473"/>
      <c r="PFN12" s="473"/>
      <c r="PFO12" s="473"/>
      <c r="PFP12" s="473"/>
      <c r="PFQ12" s="473"/>
      <c r="PFR12" s="473"/>
      <c r="PFS12" s="473"/>
      <c r="PFT12" s="473"/>
      <c r="PFU12" s="473"/>
      <c r="PFV12" s="473"/>
      <c r="PFW12" s="473"/>
      <c r="PFX12" s="473"/>
      <c r="PFY12" s="473"/>
      <c r="PFZ12" s="473"/>
      <c r="PGA12" s="473"/>
      <c r="PGB12" s="473"/>
      <c r="PGC12" s="473"/>
      <c r="PGD12" s="473"/>
      <c r="PGE12" s="473"/>
      <c r="PGF12" s="473"/>
      <c r="PGG12" s="473"/>
      <c r="PGH12" s="473"/>
      <c r="PGI12" s="473"/>
      <c r="PGJ12" s="473"/>
      <c r="PGK12" s="473"/>
      <c r="PGL12" s="473"/>
      <c r="PGM12" s="473"/>
      <c r="PGN12" s="473"/>
      <c r="PGO12" s="473"/>
      <c r="PGP12" s="473"/>
      <c r="PGQ12" s="473"/>
      <c r="PGR12" s="473"/>
      <c r="PGS12" s="473"/>
      <c r="PGT12" s="473"/>
      <c r="PGU12" s="473"/>
      <c r="PGV12" s="473"/>
      <c r="PGW12" s="473"/>
      <c r="PGX12" s="473"/>
      <c r="PGY12" s="473"/>
      <c r="PGZ12" s="473"/>
      <c r="PHA12" s="473"/>
      <c r="PHB12" s="473"/>
      <c r="PHC12" s="473"/>
      <c r="PHD12" s="473"/>
      <c r="PHE12" s="473"/>
      <c r="PHF12" s="473"/>
      <c r="PHG12" s="473"/>
      <c r="PHH12" s="473"/>
      <c r="PHI12" s="473"/>
      <c r="PHJ12" s="473"/>
      <c r="PHK12" s="473"/>
      <c r="PHL12" s="473"/>
      <c r="PHM12" s="473"/>
      <c r="PHN12" s="473"/>
      <c r="PHO12" s="473"/>
      <c r="PHP12" s="473"/>
      <c r="PHQ12" s="473"/>
      <c r="PHR12" s="473"/>
      <c r="PHS12" s="473"/>
      <c r="PHT12" s="473"/>
      <c r="PHU12" s="473"/>
      <c r="PHV12" s="473"/>
      <c r="PHW12" s="473"/>
      <c r="PHX12" s="473"/>
      <c r="PHY12" s="473"/>
      <c r="PHZ12" s="473"/>
      <c r="PIA12" s="473"/>
      <c r="PIB12" s="473"/>
      <c r="PIC12" s="473"/>
      <c r="PID12" s="473"/>
      <c r="PIE12" s="473"/>
      <c r="PIF12" s="473"/>
      <c r="PIG12" s="473"/>
      <c r="PIH12" s="473"/>
      <c r="PII12" s="473"/>
      <c r="PIJ12" s="473"/>
      <c r="PIK12" s="473"/>
      <c r="PIL12" s="473"/>
      <c r="PIM12" s="473"/>
      <c r="PIN12" s="473"/>
      <c r="PIO12" s="473"/>
      <c r="PIP12" s="473"/>
      <c r="PIQ12" s="473"/>
      <c r="PIR12" s="473"/>
      <c r="PIS12" s="473"/>
      <c r="PIT12" s="473"/>
      <c r="PIU12" s="473"/>
      <c r="PIV12" s="473"/>
      <c r="PIW12" s="473"/>
      <c r="PIX12" s="473"/>
      <c r="PIY12" s="473"/>
      <c r="PIZ12" s="473"/>
      <c r="PJA12" s="473"/>
      <c r="PJB12" s="473"/>
      <c r="PJC12" s="473"/>
      <c r="PJD12" s="473"/>
      <c r="PJE12" s="473"/>
      <c r="PJF12" s="473"/>
      <c r="PJG12" s="473"/>
      <c r="PJH12" s="473"/>
      <c r="PJI12" s="473"/>
      <c r="PJJ12" s="473"/>
      <c r="PJK12" s="473"/>
      <c r="PJL12" s="473"/>
      <c r="PJM12" s="473"/>
      <c r="PJN12" s="473"/>
      <c r="PJO12" s="473"/>
      <c r="PJP12" s="473"/>
      <c r="PJQ12" s="473"/>
      <c r="PJR12" s="473"/>
      <c r="PJS12" s="473"/>
      <c r="PJT12" s="473"/>
      <c r="PJU12" s="473"/>
      <c r="PJV12" s="473"/>
      <c r="PJW12" s="473"/>
      <c r="PJX12" s="473"/>
      <c r="PJY12" s="473"/>
      <c r="PJZ12" s="473"/>
      <c r="PKA12" s="473"/>
      <c r="PKB12" s="473"/>
      <c r="PKC12" s="473"/>
      <c r="PKD12" s="473"/>
      <c r="PKE12" s="473"/>
      <c r="PKF12" s="473"/>
      <c r="PKG12" s="473"/>
      <c r="PKH12" s="473"/>
      <c r="PKI12" s="473"/>
      <c r="PKJ12" s="473"/>
      <c r="PKK12" s="473"/>
      <c r="PKL12" s="473"/>
      <c r="PKM12" s="473"/>
      <c r="PKN12" s="473"/>
      <c r="PKO12" s="473"/>
      <c r="PKP12" s="473"/>
      <c r="PKQ12" s="473"/>
      <c r="PKR12" s="473"/>
      <c r="PKS12" s="473"/>
      <c r="PKT12" s="473"/>
      <c r="PKU12" s="473"/>
      <c r="PKV12" s="473"/>
      <c r="PKW12" s="473"/>
      <c r="PKX12" s="473"/>
      <c r="PKY12" s="473"/>
      <c r="PKZ12" s="473"/>
      <c r="PLA12" s="473"/>
      <c r="PLB12" s="473"/>
      <c r="PLC12" s="473"/>
      <c r="PLD12" s="473"/>
      <c r="PLE12" s="473"/>
      <c r="PLF12" s="473"/>
      <c r="PLG12" s="473"/>
      <c r="PLH12" s="473"/>
      <c r="PLI12" s="473"/>
      <c r="PLJ12" s="473"/>
      <c r="PLK12" s="473"/>
      <c r="PLL12" s="473"/>
      <c r="PLM12" s="473"/>
      <c r="PLN12" s="473"/>
      <c r="PLO12" s="473"/>
      <c r="PLP12" s="473"/>
      <c r="PLQ12" s="473"/>
      <c r="PLR12" s="473"/>
      <c r="PLS12" s="473"/>
      <c r="PLT12" s="473"/>
      <c r="PLU12" s="473"/>
      <c r="PLV12" s="473"/>
      <c r="PLW12" s="473"/>
      <c r="PLX12" s="473"/>
      <c r="PLY12" s="473"/>
      <c r="PLZ12" s="473"/>
      <c r="PMA12" s="473"/>
      <c r="PMB12" s="473"/>
      <c r="PMC12" s="473"/>
      <c r="PMD12" s="473"/>
      <c r="PME12" s="473"/>
      <c r="PMF12" s="473"/>
      <c r="PMG12" s="473"/>
      <c r="PMH12" s="473"/>
      <c r="PMI12" s="473"/>
      <c r="PMJ12" s="473"/>
      <c r="PMK12" s="473"/>
      <c r="PML12" s="473"/>
      <c r="PMM12" s="473"/>
      <c r="PMN12" s="473"/>
      <c r="PMO12" s="473"/>
      <c r="PMP12" s="473"/>
      <c r="PMQ12" s="473"/>
      <c r="PMR12" s="473"/>
      <c r="PMS12" s="473"/>
      <c r="PMT12" s="473"/>
      <c r="PMU12" s="473"/>
      <c r="PMV12" s="473"/>
      <c r="PMW12" s="473"/>
      <c r="PMX12" s="473"/>
      <c r="PMY12" s="473"/>
      <c r="PMZ12" s="473"/>
      <c r="PNA12" s="473"/>
      <c r="PNB12" s="473"/>
      <c r="PNC12" s="473"/>
      <c r="PND12" s="473"/>
      <c r="PNE12" s="473"/>
      <c r="PNF12" s="473"/>
      <c r="PNG12" s="473"/>
      <c r="PNH12" s="473"/>
      <c r="PNI12" s="473"/>
      <c r="PNJ12" s="473"/>
      <c r="PNK12" s="473"/>
      <c r="PNL12" s="473"/>
      <c r="PNM12" s="473"/>
      <c r="PNN12" s="473"/>
      <c r="PNO12" s="473"/>
      <c r="PNP12" s="473"/>
      <c r="PNQ12" s="473"/>
      <c r="PNR12" s="473"/>
      <c r="PNS12" s="473"/>
      <c r="PNT12" s="473"/>
      <c r="PNU12" s="473"/>
      <c r="PNV12" s="473"/>
      <c r="PNW12" s="473"/>
      <c r="PNX12" s="473"/>
      <c r="PNY12" s="473"/>
      <c r="PNZ12" s="473"/>
      <c r="POA12" s="473"/>
      <c r="POB12" s="473"/>
      <c r="POC12" s="473"/>
      <c r="POD12" s="473"/>
      <c r="POE12" s="473"/>
      <c r="POF12" s="473"/>
      <c r="POG12" s="473"/>
      <c r="POH12" s="473"/>
      <c r="POI12" s="473"/>
      <c r="POJ12" s="473"/>
      <c r="POK12" s="473"/>
      <c r="POL12" s="473"/>
      <c r="POM12" s="473"/>
      <c r="PON12" s="473"/>
      <c r="POO12" s="473"/>
      <c r="POP12" s="473"/>
      <c r="POQ12" s="473"/>
      <c r="POR12" s="473"/>
      <c r="POS12" s="473"/>
      <c r="POT12" s="473"/>
      <c r="POU12" s="473"/>
      <c r="POV12" s="473"/>
      <c r="POW12" s="473"/>
      <c r="POX12" s="473"/>
      <c r="POY12" s="473"/>
      <c r="POZ12" s="473"/>
      <c r="PPA12" s="473"/>
      <c r="PPB12" s="473"/>
      <c r="PPC12" s="473"/>
      <c r="PPD12" s="473"/>
      <c r="PPE12" s="473"/>
      <c r="PPF12" s="473"/>
      <c r="PPG12" s="473"/>
      <c r="PPH12" s="473"/>
      <c r="PPI12" s="473"/>
      <c r="PPJ12" s="473"/>
      <c r="PPK12" s="473"/>
      <c r="PPL12" s="473"/>
      <c r="PPM12" s="473"/>
      <c r="PPN12" s="473"/>
      <c r="PPO12" s="473"/>
      <c r="PPP12" s="473"/>
      <c r="PPQ12" s="473"/>
      <c r="PPR12" s="473"/>
      <c r="PPS12" s="473"/>
      <c r="PPT12" s="473"/>
      <c r="PPU12" s="473"/>
      <c r="PPV12" s="473"/>
      <c r="PPW12" s="473"/>
      <c r="PPX12" s="473"/>
      <c r="PPY12" s="473"/>
      <c r="PPZ12" s="473"/>
      <c r="PQA12" s="473"/>
      <c r="PQB12" s="473"/>
      <c r="PQC12" s="473"/>
      <c r="PQD12" s="473"/>
      <c r="PQE12" s="473"/>
      <c r="PQF12" s="473"/>
      <c r="PQG12" s="473"/>
      <c r="PQH12" s="473"/>
      <c r="PQI12" s="473"/>
      <c r="PQJ12" s="473"/>
      <c r="PQK12" s="473"/>
      <c r="PQL12" s="473"/>
      <c r="PQM12" s="473"/>
      <c r="PQN12" s="473"/>
      <c r="PQO12" s="473"/>
      <c r="PQP12" s="473"/>
      <c r="PQQ12" s="473"/>
      <c r="PQR12" s="473"/>
      <c r="PQS12" s="473"/>
      <c r="PQT12" s="473"/>
      <c r="PQU12" s="473"/>
      <c r="PQV12" s="473"/>
      <c r="PQW12" s="473"/>
      <c r="PQX12" s="473"/>
      <c r="PQY12" s="473"/>
      <c r="PQZ12" s="473"/>
      <c r="PRA12" s="473"/>
      <c r="PRB12" s="473"/>
      <c r="PRC12" s="473"/>
      <c r="PRD12" s="473"/>
      <c r="PRE12" s="473"/>
      <c r="PRF12" s="473"/>
      <c r="PRG12" s="473"/>
      <c r="PRH12" s="473"/>
      <c r="PRI12" s="473"/>
      <c r="PRJ12" s="473"/>
      <c r="PRK12" s="473"/>
      <c r="PRL12" s="473"/>
      <c r="PRM12" s="473"/>
      <c r="PRN12" s="473"/>
      <c r="PRO12" s="473"/>
      <c r="PRP12" s="473"/>
      <c r="PRQ12" s="473"/>
      <c r="PRR12" s="473"/>
      <c r="PRS12" s="473"/>
      <c r="PRT12" s="473"/>
      <c r="PRU12" s="473"/>
      <c r="PRV12" s="473"/>
      <c r="PRW12" s="473"/>
      <c r="PRX12" s="473"/>
      <c r="PRY12" s="473"/>
      <c r="PRZ12" s="473"/>
      <c r="PSA12" s="473"/>
      <c r="PSB12" s="473"/>
      <c r="PSC12" s="473"/>
      <c r="PSD12" s="473"/>
      <c r="PSE12" s="473"/>
      <c r="PSF12" s="473"/>
      <c r="PSG12" s="473"/>
      <c r="PSH12" s="473"/>
      <c r="PSI12" s="473"/>
      <c r="PSJ12" s="473"/>
      <c r="PSK12" s="473"/>
      <c r="PSL12" s="473"/>
      <c r="PSM12" s="473"/>
      <c r="PSN12" s="473"/>
      <c r="PSO12" s="473"/>
      <c r="PSP12" s="473"/>
      <c r="PSQ12" s="473"/>
      <c r="PSR12" s="473"/>
      <c r="PSS12" s="473"/>
      <c r="PST12" s="473"/>
      <c r="PSU12" s="473"/>
      <c r="PSV12" s="473"/>
      <c r="PSW12" s="473"/>
      <c r="PSX12" s="473"/>
      <c r="PSY12" s="473"/>
      <c r="PSZ12" s="473"/>
      <c r="PTA12" s="473"/>
      <c r="PTB12" s="473"/>
      <c r="PTC12" s="473"/>
      <c r="PTD12" s="473"/>
      <c r="PTE12" s="473"/>
      <c r="PTF12" s="473"/>
      <c r="PTG12" s="473"/>
      <c r="PTH12" s="473"/>
      <c r="PTI12" s="473"/>
      <c r="PTJ12" s="473"/>
      <c r="PTK12" s="473"/>
      <c r="PTL12" s="473"/>
      <c r="PTM12" s="473"/>
      <c r="PTN12" s="473"/>
      <c r="PTO12" s="473"/>
      <c r="PTP12" s="473"/>
      <c r="PTQ12" s="473"/>
      <c r="PTR12" s="473"/>
      <c r="PTS12" s="473"/>
      <c r="PTT12" s="473"/>
      <c r="PTU12" s="473"/>
      <c r="PTV12" s="473"/>
      <c r="PTW12" s="473"/>
      <c r="PTX12" s="473"/>
      <c r="PTY12" s="473"/>
      <c r="PTZ12" s="473"/>
      <c r="PUA12" s="473"/>
      <c r="PUB12" s="473"/>
      <c r="PUC12" s="473"/>
      <c r="PUD12" s="473"/>
      <c r="PUE12" s="473"/>
      <c r="PUF12" s="473"/>
      <c r="PUG12" s="473"/>
      <c r="PUH12" s="473"/>
      <c r="PUI12" s="473"/>
      <c r="PUJ12" s="473"/>
      <c r="PUK12" s="473"/>
      <c r="PUL12" s="473"/>
      <c r="PUM12" s="473"/>
      <c r="PUN12" s="473"/>
      <c r="PUO12" s="473"/>
      <c r="PUP12" s="473"/>
      <c r="PUQ12" s="473"/>
      <c r="PUR12" s="473"/>
      <c r="PUS12" s="473"/>
      <c r="PUT12" s="473"/>
      <c r="PUU12" s="473"/>
      <c r="PUV12" s="473"/>
      <c r="PUW12" s="473"/>
      <c r="PUX12" s="473"/>
      <c r="PUY12" s="473"/>
      <c r="PUZ12" s="473"/>
      <c r="PVA12" s="473"/>
      <c r="PVB12" s="473"/>
      <c r="PVC12" s="473"/>
      <c r="PVD12" s="473"/>
      <c r="PVE12" s="473"/>
      <c r="PVF12" s="473"/>
      <c r="PVG12" s="473"/>
      <c r="PVH12" s="473"/>
      <c r="PVI12" s="473"/>
      <c r="PVJ12" s="473"/>
      <c r="PVK12" s="473"/>
      <c r="PVL12" s="473"/>
      <c r="PVM12" s="473"/>
      <c r="PVN12" s="473"/>
      <c r="PVO12" s="473"/>
      <c r="PVP12" s="473"/>
      <c r="PVQ12" s="473"/>
      <c r="PVR12" s="473"/>
      <c r="PVS12" s="473"/>
      <c r="PVT12" s="473"/>
      <c r="PVU12" s="473"/>
      <c r="PVV12" s="473"/>
      <c r="PVW12" s="473"/>
      <c r="PVX12" s="473"/>
      <c r="PVY12" s="473"/>
      <c r="PVZ12" s="473"/>
      <c r="PWA12" s="473"/>
      <c r="PWB12" s="473"/>
      <c r="PWC12" s="473"/>
      <c r="PWD12" s="473"/>
      <c r="PWE12" s="473"/>
      <c r="PWF12" s="473"/>
      <c r="PWG12" s="473"/>
      <c r="PWH12" s="473"/>
      <c r="PWI12" s="473"/>
      <c r="PWJ12" s="473"/>
      <c r="PWK12" s="473"/>
      <c r="PWL12" s="473"/>
      <c r="PWM12" s="473"/>
      <c r="PWN12" s="473"/>
      <c r="PWO12" s="473"/>
      <c r="PWP12" s="473"/>
      <c r="PWQ12" s="473"/>
      <c r="PWR12" s="473"/>
      <c r="PWS12" s="473"/>
      <c r="PWT12" s="473"/>
      <c r="PWU12" s="473"/>
      <c r="PWV12" s="473"/>
      <c r="PWW12" s="473"/>
      <c r="PWX12" s="473"/>
      <c r="PWY12" s="473"/>
      <c r="PWZ12" s="473"/>
      <c r="PXA12" s="473"/>
      <c r="PXB12" s="473"/>
      <c r="PXC12" s="473"/>
      <c r="PXD12" s="473"/>
      <c r="PXE12" s="473"/>
      <c r="PXF12" s="473"/>
      <c r="PXG12" s="473"/>
      <c r="PXH12" s="473"/>
      <c r="PXI12" s="473"/>
      <c r="PXJ12" s="473"/>
      <c r="PXK12" s="473"/>
      <c r="PXL12" s="473"/>
      <c r="PXM12" s="473"/>
      <c r="PXN12" s="473"/>
      <c r="PXO12" s="473"/>
      <c r="PXP12" s="473"/>
      <c r="PXQ12" s="473"/>
      <c r="PXR12" s="473"/>
      <c r="PXS12" s="473"/>
      <c r="PXT12" s="473"/>
      <c r="PXU12" s="473"/>
      <c r="PXV12" s="473"/>
      <c r="PXW12" s="473"/>
      <c r="PXX12" s="473"/>
      <c r="PXY12" s="473"/>
      <c r="PXZ12" s="473"/>
      <c r="PYA12" s="473"/>
      <c r="PYB12" s="473"/>
      <c r="PYC12" s="473"/>
      <c r="PYD12" s="473"/>
      <c r="PYE12" s="473"/>
      <c r="PYF12" s="473"/>
      <c r="PYG12" s="473"/>
      <c r="PYH12" s="473"/>
      <c r="PYI12" s="473"/>
      <c r="PYJ12" s="473"/>
      <c r="PYK12" s="473"/>
      <c r="PYL12" s="473"/>
      <c r="PYM12" s="473"/>
      <c r="PYN12" s="473"/>
      <c r="PYO12" s="473"/>
      <c r="PYP12" s="473"/>
      <c r="PYQ12" s="473"/>
      <c r="PYR12" s="473"/>
      <c r="PYS12" s="473"/>
      <c r="PYT12" s="473"/>
      <c r="PYU12" s="473"/>
      <c r="PYV12" s="473"/>
      <c r="PYW12" s="473"/>
      <c r="PYX12" s="473"/>
      <c r="PYY12" s="473"/>
      <c r="PYZ12" s="473"/>
      <c r="PZA12" s="473"/>
      <c r="PZB12" s="473"/>
      <c r="PZC12" s="473"/>
      <c r="PZD12" s="473"/>
      <c r="PZE12" s="473"/>
      <c r="PZF12" s="473"/>
      <c r="PZG12" s="473"/>
      <c r="PZH12" s="473"/>
      <c r="PZI12" s="473"/>
      <c r="PZJ12" s="473"/>
      <c r="PZK12" s="473"/>
      <c r="PZL12" s="473"/>
      <c r="PZM12" s="473"/>
      <c r="PZN12" s="473"/>
      <c r="PZO12" s="473"/>
      <c r="PZP12" s="473"/>
      <c r="PZQ12" s="473"/>
      <c r="PZR12" s="473"/>
      <c r="PZS12" s="473"/>
      <c r="PZT12" s="473"/>
      <c r="PZU12" s="473"/>
      <c r="PZV12" s="473"/>
      <c r="PZW12" s="473"/>
      <c r="PZX12" s="473"/>
      <c r="PZY12" s="473"/>
      <c r="PZZ12" s="473"/>
      <c r="QAA12" s="473"/>
      <c r="QAB12" s="473"/>
      <c r="QAC12" s="473"/>
      <c r="QAD12" s="473"/>
      <c r="QAE12" s="473"/>
      <c r="QAF12" s="473"/>
      <c r="QAG12" s="473"/>
      <c r="QAH12" s="473"/>
      <c r="QAI12" s="473"/>
      <c r="QAJ12" s="473"/>
      <c r="QAK12" s="473"/>
      <c r="QAL12" s="473"/>
      <c r="QAM12" s="473"/>
      <c r="QAN12" s="473"/>
      <c r="QAO12" s="473"/>
      <c r="QAP12" s="473"/>
      <c r="QAQ12" s="473"/>
      <c r="QAR12" s="473"/>
      <c r="QAS12" s="473"/>
      <c r="QAT12" s="473"/>
      <c r="QAU12" s="473"/>
      <c r="QAV12" s="473"/>
      <c r="QAW12" s="473"/>
      <c r="QAX12" s="473"/>
      <c r="QAY12" s="473"/>
      <c r="QAZ12" s="473"/>
      <c r="QBA12" s="473"/>
      <c r="QBB12" s="473"/>
      <c r="QBC12" s="473"/>
      <c r="QBD12" s="473"/>
      <c r="QBE12" s="473"/>
      <c r="QBF12" s="473"/>
      <c r="QBG12" s="473"/>
      <c r="QBH12" s="473"/>
      <c r="QBI12" s="473"/>
      <c r="QBJ12" s="473"/>
      <c r="QBK12" s="473"/>
      <c r="QBL12" s="473"/>
      <c r="QBM12" s="473"/>
      <c r="QBN12" s="473"/>
      <c r="QBO12" s="473"/>
      <c r="QBP12" s="473"/>
      <c r="QBQ12" s="473"/>
      <c r="QBR12" s="473"/>
      <c r="QBS12" s="473"/>
      <c r="QBT12" s="473"/>
      <c r="QBU12" s="473"/>
      <c r="QBV12" s="473"/>
      <c r="QBW12" s="473"/>
      <c r="QBX12" s="473"/>
      <c r="QBY12" s="473"/>
      <c r="QBZ12" s="473"/>
      <c r="QCA12" s="473"/>
      <c r="QCB12" s="473"/>
      <c r="QCC12" s="473"/>
      <c r="QCD12" s="473"/>
      <c r="QCE12" s="473"/>
      <c r="QCF12" s="473"/>
      <c r="QCG12" s="473"/>
      <c r="QCH12" s="473"/>
      <c r="QCI12" s="473"/>
      <c r="QCJ12" s="473"/>
      <c r="QCK12" s="473"/>
      <c r="QCL12" s="473"/>
      <c r="QCM12" s="473"/>
      <c r="QCN12" s="473"/>
      <c r="QCO12" s="473"/>
      <c r="QCP12" s="473"/>
      <c r="QCQ12" s="473"/>
      <c r="QCR12" s="473"/>
      <c r="QCS12" s="473"/>
      <c r="QCT12" s="473"/>
      <c r="QCU12" s="473"/>
      <c r="QCV12" s="473"/>
      <c r="QCW12" s="473"/>
      <c r="QCX12" s="473"/>
      <c r="QCY12" s="473"/>
      <c r="QCZ12" s="473"/>
      <c r="QDA12" s="473"/>
      <c r="QDB12" s="473"/>
      <c r="QDC12" s="473"/>
      <c r="QDD12" s="473"/>
      <c r="QDE12" s="473"/>
      <c r="QDF12" s="473"/>
      <c r="QDG12" s="473"/>
      <c r="QDH12" s="473"/>
      <c r="QDI12" s="473"/>
      <c r="QDJ12" s="473"/>
      <c r="QDK12" s="473"/>
      <c r="QDL12" s="473"/>
      <c r="QDM12" s="473"/>
      <c r="QDN12" s="473"/>
      <c r="QDO12" s="473"/>
      <c r="QDP12" s="473"/>
      <c r="QDQ12" s="473"/>
      <c r="QDR12" s="473"/>
      <c r="QDS12" s="473"/>
      <c r="QDT12" s="473"/>
      <c r="QDU12" s="473"/>
      <c r="QDV12" s="473"/>
      <c r="QDW12" s="473"/>
      <c r="QDX12" s="473"/>
      <c r="QDY12" s="473"/>
      <c r="QDZ12" s="473"/>
      <c r="QEA12" s="473"/>
      <c r="QEB12" s="473"/>
      <c r="QEC12" s="473"/>
      <c r="QED12" s="473"/>
      <c r="QEE12" s="473"/>
      <c r="QEF12" s="473"/>
      <c r="QEG12" s="473"/>
      <c r="QEH12" s="473"/>
      <c r="QEI12" s="473"/>
      <c r="QEJ12" s="473"/>
      <c r="QEK12" s="473"/>
      <c r="QEL12" s="473"/>
      <c r="QEM12" s="473"/>
      <c r="QEN12" s="473"/>
      <c r="QEO12" s="473"/>
      <c r="QEP12" s="473"/>
      <c r="QEQ12" s="473"/>
      <c r="QER12" s="473"/>
      <c r="QES12" s="473"/>
      <c r="QET12" s="473"/>
      <c r="QEU12" s="473"/>
      <c r="QEV12" s="473"/>
      <c r="QEW12" s="473"/>
      <c r="QEX12" s="473"/>
      <c r="QEY12" s="473"/>
      <c r="QEZ12" s="473"/>
      <c r="QFA12" s="473"/>
      <c r="QFB12" s="473"/>
      <c r="QFC12" s="473"/>
      <c r="QFD12" s="473"/>
      <c r="QFE12" s="473"/>
      <c r="QFF12" s="473"/>
      <c r="QFG12" s="473"/>
      <c r="QFH12" s="473"/>
      <c r="QFI12" s="473"/>
      <c r="QFJ12" s="473"/>
      <c r="QFK12" s="473"/>
      <c r="QFL12" s="473"/>
      <c r="QFM12" s="473"/>
      <c r="QFN12" s="473"/>
      <c r="QFO12" s="473"/>
      <c r="QFP12" s="473"/>
      <c r="QFQ12" s="473"/>
      <c r="QFR12" s="473"/>
      <c r="QFS12" s="473"/>
      <c r="QFT12" s="473"/>
      <c r="QFU12" s="473"/>
      <c r="QFV12" s="473"/>
      <c r="QFW12" s="473"/>
      <c r="QFX12" s="473"/>
      <c r="QFY12" s="473"/>
      <c r="QFZ12" s="473"/>
      <c r="QGA12" s="473"/>
      <c r="QGB12" s="473"/>
      <c r="QGC12" s="473"/>
      <c r="QGD12" s="473"/>
      <c r="QGE12" s="473"/>
      <c r="QGF12" s="473"/>
      <c r="QGG12" s="473"/>
      <c r="QGH12" s="473"/>
      <c r="QGI12" s="473"/>
      <c r="QGJ12" s="473"/>
      <c r="QGK12" s="473"/>
      <c r="QGL12" s="473"/>
      <c r="QGM12" s="473"/>
      <c r="QGN12" s="473"/>
      <c r="QGO12" s="473"/>
      <c r="QGP12" s="473"/>
      <c r="QGQ12" s="473"/>
      <c r="QGR12" s="473"/>
      <c r="QGS12" s="473"/>
      <c r="QGT12" s="473"/>
      <c r="QGU12" s="473"/>
      <c r="QGV12" s="473"/>
      <c r="QGW12" s="473"/>
      <c r="QGX12" s="473"/>
      <c r="QGY12" s="473"/>
      <c r="QGZ12" s="473"/>
      <c r="QHA12" s="473"/>
      <c r="QHB12" s="473"/>
      <c r="QHC12" s="473"/>
      <c r="QHD12" s="473"/>
      <c r="QHE12" s="473"/>
      <c r="QHF12" s="473"/>
      <c r="QHG12" s="473"/>
      <c r="QHH12" s="473"/>
      <c r="QHI12" s="473"/>
      <c r="QHJ12" s="473"/>
      <c r="QHK12" s="473"/>
      <c r="QHL12" s="473"/>
      <c r="QHM12" s="473"/>
      <c r="QHN12" s="473"/>
      <c r="QHO12" s="473"/>
      <c r="QHP12" s="473"/>
      <c r="QHQ12" s="473"/>
      <c r="QHR12" s="473"/>
      <c r="QHS12" s="473"/>
      <c r="QHT12" s="473"/>
      <c r="QHU12" s="473"/>
      <c r="QHV12" s="473"/>
      <c r="QHW12" s="473"/>
      <c r="QHX12" s="473"/>
      <c r="QHY12" s="473"/>
      <c r="QHZ12" s="473"/>
      <c r="QIA12" s="473"/>
      <c r="QIB12" s="473"/>
      <c r="QIC12" s="473"/>
      <c r="QID12" s="473"/>
      <c r="QIE12" s="473"/>
      <c r="QIF12" s="473"/>
      <c r="QIG12" s="473"/>
      <c r="QIH12" s="473"/>
      <c r="QII12" s="473"/>
      <c r="QIJ12" s="473"/>
      <c r="QIK12" s="473"/>
      <c r="QIL12" s="473"/>
      <c r="QIM12" s="473"/>
      <c r="QIN12" s="473"/>
      <c r="QIO12" s="473"/>
      <c r="QIP12" s="473"/>
      <c r="QIQ12" s="473"/>
      <c r="QIR12" s="473"/>
      <c r="QIS12" s="473"/>
      <c r="QIT12" s="473"/>
      <c r="QIU12" s="473"/>
      <c r="QIV12" s="473"/>
      <c r="QIW12" s="473"/>
      <c r="QIX12" s="473"/>
      <c r="QIY12" s="473"/>
      <c r="QIZ12" s="473"/>
      <c r="QJA12" s="473"/>
      <c r="QJB12" s="473"/>
      <c r="QJC12" s="473"/>
      <c r="QJD12" s="473"/>
      <c r="QJE12" s="473"/>
      <c r="QJF12" s="473"/>
      <c r="QJG12" s="473"/>
      <c r="QJH12" s="473"/>
      <c r="QJI12" s="473"/>
      <c r="QJJ12" s="473"/>
      <c r="QJK12" s="473"/>
      <c r="QJL12" s="473"/>
      <c r="QJM12" s="473"/>
      <c r="QJN12" s="473"/>
      <c r="QJO12" s="473"/>
      <c r="QJP12" s="473"/>
      <c r="QJQ12" s="473"/>
      <c r="QJR12" s="473"/>
      <c r="QJS12" s="473"/>
      <c r="QJT12" s="473"/>
      <c r="QJU12" s="473"/>
      <c r="QJV12" s="473"/>
      <c r="QJW12" s="473"/>
      <c r="QJX12" s="473"/>
      <c r="QJY12" s="473"/>
      <c r="QJZ12" s="473"/>
      <c r="QKA12" s="473"/>
      <c r="QKB12" s="473"/>
      <c r="QKC12" s="473"/>
      <c r="QKD12" s="473"/>
      <c r="QKE12" s="473"/>
      <c r="QKF12" s="473"/>
      <c r="QKG12" s="473"/>
      <c r="QKH12" s="473"/>
      <c r="QKI12" s="473"/>
      <c r="QKJ12" s="473"/>
      <c r="QKK12" s="473"/>
      <c r="QKL12" s="473"/>
      <c r="QKM12" s="473"/>
      <c r="QKN12" s="473"/>
      <c r="QKO12" s="473"/>
      <c r="QKP12" s="473"/>
      <c r="QKQ12" s="473"/>
      <c r="QKR12" s="473"/>
      <c r="QKS12" s="473"/>
      <c r="QKT12" s="473"/>
      <c r="QKU12" s="473"/>
      <c r="QKV12" s="473"/>
      <c r="QKW12" s="473"/>
      <c r="QKX12" s="473"/>
      <c r="QKY12" s="473"/>
      <c r="QKZ12" s="473"/>
      <c r="QLA12" s="473"/>
      <c r="QLB12" s="473"/>
      <c r="QLC12" s="473"/>
      <c r="QLD12" s="473"/>
      <c r="QLE12" s="473"/>
      <c r="QLF12" s="473"/>
      <c r="QLG12" s="473"/>
      <c r="QLH12" s="473"/>
      <c r="QLI12" s="473"/>
      <c r="QLJ12" s="473"/>
      <c r="QLK12" s="473"/>
      <c r="QLL12" s="473"/>
      <c r="QLM12" s="473"/>
      <c r="QLN12" s="473"/>
      <c r="QLO12" s="473"/>
      <c r="QLP12" s="473"/>
      <c r="QLQ12" s="473"/>
      <c r="QLR12" s="473"/>
      <c r="QLS12" s="473"/>
      <c r="QLT12" s="473"/>
      <c r="QLU12" s="473"/>
      <c r="QLV12" s="473"/>
      <c r="QLW12" s="473"/>
      <c r="QLX12" s="473"/>
      <c r="QLY12" s="473"/>
      <c r="QLZ12" s="473"/>
      <c r="QMA12" s="473"/>
      <c r="QMB12" s="473"/>
      <c r="QMC12" s="473"/>
      <c r="QMD12" s="473"/>
      <c r="QME12" s="473"/>
      <c r="QMF12" s="473"/>
      <c r="QMG12" s="473"/>
      <c r="QMH12" s="473"/>
      <c r="QMI12" s="473"/>
      <c r="QMJ12" s="473"/>
      <c r="QMK12" s="473"/>
      <c r="QML12" s="473"/>
      <c r="QMM12" s="473"/>
      <c r="QMN12" s="473"/>
      <c r="QMO12" s="473"/>
      <c r="QMP12" s="473"/>
      <c r="QMQ12" s="473"/>
      <c r="QMR12" s="473"/>
      <c r="QMS12" s="473"/>
      <c r="QMT12" s="473"/>
      <c r="QMU12" s="473"/>
      <c r="QMV12" s="473"/>
      <c r="QMW12" s="473"/>
      <c r="QMX12" s="473"/>
      <c r="QMY12" s="473"/>
      <c r="QMZ12" s="473"/>
      <c r="QNA12" s="473"/>
      <c r="QNB12" s="473"/>
      <c r="QNC12" s="473"/>
      <c r="QND12" s="473"/>
      <c r="QNE12" s="473"/>
      <c r="QNF12" s="473"/>
      <c r="QNG12" s="473"/>
      <c r="QNH12" s="473"/>
      <c r="QNI12" s="473"/>
      <c r="QNJ12" s="473"/>
      <c r="QNK12" s="473"/>
      <c r="QNL12" s="473"/>
      <c r="QNM12" s="473"/>
      <c r="QNN12" s="473"/>
      <c r="QNO12" s="473"/>
      <c r="QNP12" s="473"/>
      <c r="QNQ12" s="473"/>
      <c r="QNR12" s="473"/>
      <c r="QNS12" s="473"/>
      <c r="QNT12" s="473"/>
      <c r="QNU12" s="473"/>
      <c r="QNV12" s="473"/>
      <c r="QNW12" s="473"/>
      <c r="QNX12" s="473"/>
      <c r="QNY12" s="473"/>
      <c r="QNZ12" s="473"/>
      <c r="QOA12" s="473"/>
      <c r="QOB12" s="473"/>
      <c r="QOC12" s="473"/>
      <c r="QOD12" s="473"/>
      <c r="QOE12" s="473"/>
      <c r="QOF12" s="473"/>
      <c r="QOG12" s="473"/>
      <c r="QOH12" s="473"/>
      <c r="QOI12" s="473"/>
      <c r="QOJ12" s="473"/>
      <c r="QOK12" s="473"/>
      <c r="QOL12" s="473"/>
      <c r="QOM12" s="473"/>
      <c r="QON12" s="473"/>
      <c r="QOO12" s="473"/>
      <c r="QOP12" s="473"/>
      <c r="QOQ12" s="473"/>
      <c r="QOR12" s="473"/>
      <c r="QOS12" s="473"/>
      <c r="QOT12" s="473"/>
      <c r="QOU12" s="473"/>
      <c r="QOV12" s="473"/>
      <c r="QOW12" s="473"/>
      <c r="QOX12" s="473"/>
      <c r="QOY12" s="473"/>
      <c r="QOZ12" s="473"/>
      <c r="QPA12" s="473"/>
      <c r="QPB12" s="473"/>
      <c r="QPC12" s="473"/>
      <c r="QPD12" s="473"/>
      <c r="QPE12" s="473"/>
      <c r="QPF12" s="473"/>
      <c r="QPG12" s="473"/>
      <c r="QPH12" s="473"/>
      <c r="QPI12" s="473"/>
      <c r="QPJ12" s="473"/>
      <c r="QPK12" s="473"/>
      <c r="QPL12" s="473"/>
      <c r="QPM12" s="473"/>
      <c r="QPN12" s="473"/>
      <c r="QPO12" s="473"/>
      <c r="QPP12" s="473"/>
      <c r="QPQ12" s="473"/>
      <c r="QPR12" s="473"/>
      <c r="QPS12" s="473"/>
      <c r="QPT12" s="473"/>
      <c r="QPU12" s="473"/>
      <c r="QPV12" s="473"/>
      <c r="QPW12" s="473"/>
      <c r="QPX12" s="473"/>
      <c r="QPY12" s="473"/>
      <c r="QPZ12" s="473"/>
      <c r="QQA12" s="473"/>
      <c r="QQB12" s="473"/>
      <c r="QQC12" s="473"/>
      <c r="QQD12" s="473"/>
      <c r="QQE12" s="473"/>
      <c r="QQF12" s="473"/>
      <c r="QQG12" s="473"/>
      <c r="QQH12" s="473"/>
      <c r="QQI12" s="473"/>
      <c r="QQJ12" s="473"/>
      <c r="QQK12" s="473"/>
      <c r="QQL12" s="473"/>
      <c r="QQM12" s="473"/>
      <c r="QQN12" s="473"/>
      <c r="QQO12" s="473"/>
      <c r="QQP12" s="473"/>
      <c r="QQQ12" s="473"/>
      <c r="QQR12" s="473"/>
      <c r="QQS12" s="473"/>
      <c r="QQT12" s="473"/>
      <c r="QQU12" s="473"/>
      <c r="QQV12" s="473"/>
      <c r="QQW12" s="473"/>
      <c r="QQX12" s="473"/>
      <c r="QQY12" s="473"/>
      <c r="QQZ12" s="473"/>
      <c r="QRA12" s="473"/>
      <c r="QRB12" s="473"/>
      <c r="QRC12" s="473"/>
      <c r="QRD12" s="473"/>
      <c r="QRE12" s="473"/>
      <c r="QRF12" s="473"/>
      <c r="QRG12" s="473"/>
      <c r="QRH12" s="473"/>
      <c r="QRI12" s="473"/>
      <c r="QRJ12" s="473"/>
      <c r="QRK12" s="473"/>
      <c r="QRL12" s="473"/>
      <c r="QRM12" s="473"/>
      <c r="QRN12" s="473"/>
      <c r="QRO12" s="473"/>
      <c r="QRP12" s="473"/>
      <c r="QRQ12" s="473"/>
      <c r="QRR12" s="473"/>
      <c r="QRS12" s="473"/>
      <c r="QRT12" s="473"/>
      <c r="QRU12" s="473"/>
      <c r="QRV12" s="473"/>
      <c r="QRW12" s="473"/>
      <c r="QRX12" s="473"/>
      <c r="QRY12" s="473"/>
      <c r="QRZ12" s="473"/>
      <c r="QSA12" s="473"/>
      <c r="QSB12" s="473"/>
      <c r="QSC12" s="473"/>
      <c r="QSD12" s="473"/>
      <c r="QSE12" s="473"/>
      <c r="QSF12" s="473"/>
      <c r="QSG12" s="473"/>
      <c r="QSH12" s="473"/>
      <c r="QSI12" s="473"/>
      <c r="QSJ12" s="473"/>
      <c r="QSK12" s="473"/>
      <c r="QSL12" s="473"/>
      <c r="QSM12" s="473"/>
      <c r="QSN12" s="473"/>
      <c r="QSO12" s="473"/>
      <c r="QSP12" s="473"/>
      <c r="QSQ12" s="473"/>
      <c r="QSR12" s="473"/>
      <c r="QSS12" s="473"/>
      <c r="QST12" s="473"/>
      <c r="QSU12" s="473"/>
      <c r="QSV12" s="473"/>
      <c r="QSW12" s="473"/>
      <c r="QSX12" s="473"/>
      <c r="QSY12" s="473"/>
      <c r="QSZ12" s="473"/>
      <c r="QTA12" s="473"/>
      <c r="QTB12" s="473"/>
      <c r="QTC12" s="473"/>
      <c r="QTD12" s="473"/>
      <c r="QTE12" s="473"/>
      <c r="QTF12" s="473"/>
      <c r="QTG12" s="473"/>
      <c r="QTH12" s="473"/>
      <c r="QTI12" s="473"/>
      <c r="QTJ12" s="473"/>
      <c r="QTK12" s="473"/>
      <c r="QTL12" s="473"/>
      <c r="QTM12" s="473"/>
      <c r="QTN12" s="473"/>
      <c r="QTO12" s="473"/>
      <c r="QTP12" s="473"/>
      <c r="QTQ12" s="473"/>
      <c r="QTR12" s="473"/>
      <c r="QTS12" s="473"/>
      <c r="QTT12" s="473"/>
      <c r="QTU12" s="473"/>
      <c r="QTV12" s="473"/>
      <c r="QTW12" s="473"/>
      <c r="QTX12" s="473"/>
      <c r="QTY12" s="473"/>
      <c r="QTZ12" s="473"/>
      <c r="QUA12" s="473"/>
      <c r="QUB12" s="473"/>
      <c r="QUC12" s="473"/>
      <c r="QUD12" s="473"/>
      <c r="QUE12" s="473"/>
      <c r="QUF12" s="473"/>
      <c r="QUG12" s="473"/>
      <c r="QUH12" s="473"/>
      <c r="QUI12" s="473"/>
      <c r="QUJ12" s="473"/>
      <c r="QUK12" s="473"/>
      <c r="QUL12" s="473"/>
      <c r="QUM12" s="473"/>
      <c r="QUN12" s="473"/>
      <c r="QUO12" s="473"/>
      <c r="QUP12" s="473"/>
      <c r="QUQ12" s="473"/>
      <c r="QUR12" s="473"/>
      <c r="QUS12" s="473"/>
      <c r="QUT12" s="473"/>
      <c r="QUU12" s="473"/>
      <c r="QUV12" s="473"/>
      <c r="QUW12" s="473"/>
      <c r="QUX12" s="473"/>
      <c r="QUY12" s="473"/>
      <c r="QUZ12" s="473"/>
      <c r="QVA12" s="473"/>
      <c r="QVB12" s="473"/>
      <c r="QVC12" s="473"/>
      <c r="QVD12" s="473"/>
      <c r="QVE12" s="473"/>
      <c r="QVF12" s="473"/>
      <c r="QVG12" s="473"/>
      <c r="QVH12" s="473"/>
      <c r="QVI12" s="473"/>
      <c r="QVJ12" s="473"/>
      <c r="QVK12" s="473"/>
      <c r="QVL12" s="473"/>
      <c r="QVM12" s="473"/>
      <c r="QVN12" s="473"/>
      <c r="QVO12" s="473"/>
      <c r="QVP12" s="473"/>
      <c r="QVQ12" s="473"/>
      <c r="QVR12" s="473"/>
      <c r="QVS12" s="473"/>
      <c r="QVT12" s="473"/>
      <c r="QVU12" s="473"/>
      <c r="QVV12" s="473"/>
      <c r="QVW12" s="473"/>
      <c r="QVX12" s="473"/>
      <c r="QVY12" s="473"/>
      <c r="QVZ12" s="473"/>
      <c r="QWA12" s="473"/>
      <c r="QWB12" s="473"/>
      <c r="QWC12" s="473"/>
      <c r="QWD12" s="473"/>
      <c r="QWE12" s="473"/>
      <c r="QWF12" s="473"/>
      <c r="QWG12" s="473"/>
      <c r="QWH12" s="473"/>
      <c r="QWI12" s="473"/>
      <c r="QWJ12" s="473"/>
      <c r="QWK12" s="473"/>
      <c r="QWL12" s="473"/>
      <c r="QWM12" s="473"/>
      <c r="QWN12" s="473"/>
      <c r="QWO12" s="473"/>
      <c r="QWP12" s="473"/>
      <c r="QWQ12" s="473"/>
      <c r="QWR12" s="473"/>
      <c r="QWS12" s="473"/>
      <c r="QWT12" s="473"/>
      <c r="QWU12" s="473"/>
      <c r="QWV12" s="473"/>
      <c r="QWW12" s="473"/>
      <c r="QWX12" s="473"/>
      <c r="QWY12" s="473"/>
      <c r="QWZ12" s="473"/>
      <c r="QXA12" s="473"/>
      <c r="QXB12" s="473"/>
      <c r="QXC12" s="473"/>
      <c r="QXD12" s="473"/>
      <c r="QXE12" s="473"/>
      <c r="QXF12" s="473"/>
      <c r="QXG12" s="473"/>
      <c r="QXH12" s="473"/>
      <c r="QXI12" s="473"/>
      <c r="QXJ12" s="473"/>
      <c r="QXK12" s="473"/>
      <c r="QXL12" s="473"/>
      <c r="QXM12" s="473"/>
      <c r="QXN12" s="473"/>
      <c r="QXO12" s="473"/>
      <c r="QXP12" s="473"/>
      <c r="QXQ12" s="473"/>
      <c r="QXR12" s="473"/>
      <c r="QXS12" s="473"/>
      <c r="QXT12" s="473"/>
      <c r="QXU12" s="473"/>
      <c r="QXV12" s="473"/>
      <c r="QXW12" s="473"/>
      <c r="QXX12" s="473"/>
      <c r="QXY12" s="473"/>
      <c r="QXZ12" s="473"/>
      <c r="QYA12" s="473"/>
      <c r="QYB12" s="473"/>
      <c r="QYC12" s="473"/>
      <c r="QYD12" s="473"/>
      <c r="QYE12" s="473"/>
      <c r="QYF12" s="473"/>
      <c r="QYG12" s="473"/>
      <c r="QYH12" s="473"/>
      <c r="QYI12" s="473"/>
      <c r="QYJ12" s="473"/>
      <c r="QYK12" s="473"/>
      <c r="QYL12" s="473"/>
      <c r="QYM12" s="473"/>
      <c r="QYN12" s="473"/>
      <c r="QYO12" s="473"/>
      <c r="QYP12" s="473"/>
      <c r="QYQ12" s="473"/>
      <c r="QYR12" s="473"/>
      <c r="QYS12" s="473"/>
      <c r="QYT12" s="473"/>
      <c r="QYU12" s="473"/>
      <c r="QYV12" s="473"/>
      <c r="QYW12" s="473"/>
      <c r="QYX12" s="473"/>
      <c r="QYY12" s="473"/>
      <c r="QYZ12" s="473"/>
      <c r="QZA12" s="473"/>
      <c r="QZB12" s="473"/>
      <c r="QZC12" s="473"/>
      <c r="QZD12" s="473"/>
      <c r="QZE12" s="473"/>
      <c r="QZF12" s="473"/>
      <c r="QZG12" s="473"/>
      <c r="QZH12" s="473"/>
      <c r="QZI12" s="473"/>
      <c r="QZJ12" s="473"/>
      <c r="QZK12" s="473"/>
      <c r="QZL12" s="473"/>
      <c r="QZM12" s="473"/>
      <c r="QZN12" s="473"/>
      <c r="QZO12" s="473"/>
      <c r="QZP12" s="473"/>
      <c r="QZQ12" s="473"/>
      <c r="QZR12" s="473"/>
      <c r="QZS12" s="473"/>
      <c r="QZT12" s="473"/>
      <c r="QZU12" s="473"/>
      <c r="QZV12" s="473"/>
      <c r="QZW12" s="473"/>
      <c r="QZX12" s="473"/>
      <c r="QZY12" s="473"/>
      <c r="QZZ12" s="473"/>
      <c r="RAA12" s="473"/>
      <c r="RAB12" s="473"/>
      <c r="RAC12" s="473"/>
      <c r="RAD12" s="473"/>
      <c r="RAE12" s="473"/>
      <c r="RAF12" s="473"/>
      <c r="RAG12" s="473"/>
      <c r="RAH12" s="473"/>
      <c r="RAI12" s="473"/>
      <c r="RAJ12" s="473"/>
      <c r="RAK12" s="473"/>
      <c r="RAL12" s="473"/>
      <c r="RAM12" s="473"/>
      <c r="RAN12" s="473"/>
      <c r="RAO12" s="473"/>
      <c r="RAP12" s="473"/>
      <c r="RAQ12" s="473"/>
      <c r="RAR12" s="473"/>
      <c r="RAS12" s="473"/>
      <c r="RAT12" s="473"/>
      <c r="RAU12" s="473"/>
      <c r="RAV12" s="473"/>
      <c r="RAW12" s="473"/>
      <c r="RAX12" s="473"/>
      <c r="RAY12" s="473"/>
      <c r="RAZ12" s="473"/>
      <c r="RBA12" s="473"/>
      <c r="RBB12" s="473"/>
      <c r="RBC12" s="473"/>
      <c r="RBD12" s="473"/>
      <c r="RBE12" s="473"/>
      <c r="RBF12" s="473"/>
      <c r="RBG12" s="473"/>
      <c r="RBH12" s="473"/>
      <c r="RBI12" s="473"/>
      <c r="RBJ12" s="473"/>
      <c r="RBK12" s="473"/>
      <c r="RBL12" s="473"/>
      <c r="RBM12" s="473"/>
      <c r="RBN12" s="473"/>
      <c r="RBO12" s="473"/>
      <c r="RBP12" s="473"/>
      <c r="RBQ12" s="473"/>
      <c r="RBR12" s="473"/>
      <c r="RBS12" s="473"/>
      <c r="RBT12" s="473"/>
      <c r="RBU12" s="473"/>
      <c r="RBV12" s="473"/>
      <c r="RBW12" s="473"/>
      <c r="RBX12" s="473"/>
      <c r="RBY12" s="473"/>
      <c r="RBZ12" s="473"/>
      <c r="RCA12" s="473"/>
      <c r="RCB12" s="473"/>
      <c r="RCC12" s="473"/>
      <c r="RCD12" s="473"/>
      <c r="RCE12" s="473"/>
      <c r="RCF12" s="473"/>
      <c r="RCG12" s="473"/>
      <c r="RCH12" s="473"/>
      <c r="RCI12" s="473"/>
      <c r="RCJ12" s="473"/>
      <c r="RCK12" s="473"/>
      <c r="RCL12" s="473"/>
      <c r="RCM12" s="473"/>
      <c r="RCN12" s="473"/>
      <c r="RCO12" s="473"/>
      <c r="RCP12" s="473"/>
      <c r="RCQ12" s="473"/>
      <c r="RCR12" s="473"/>
      <c r="RCS12" s="473"/>
      <c r="RCT12" s="473"/>
      <c r="RCU12" s="473"/>
      <c r="RCV12" s="473"/>
      <c r="RCW12" s="473"/>
      <c r="RCX12" s="473"/>
      <c r="RCY12" s="473"/>
      <c r="RCZ12" s="473"/>
      <c r="RDA12" s="473"/>
      <c r="RDB12" s="473"/>
      <c r="RDC12" s="473"/>
      <c r="RDD12" s="473"/>
      <c r="RDE12" s="473"/>
      <c r="RDF12" s="473"/>
      <c r="RDG12" s="473"/>
      <c r="RDH12" s="473"/>
      <c r="RDI12" s="473"/>
      <c r="RDJ12" s="473"/>
      <c r="RDK12" s="473"/>
      <c r="RDL12" s="473"/>
      <c r="RDM12" s="473"/>
      <c r="RDN12" s="473"/>
      <c r="RDO12" s="473"/>
      <c r="RDP12" s="473"/>
      <c r="RDQ12" s="473"/>
      <c r="RDR12" s="473"/>
      <c r="RDS12" s="473"/>
      <c r="RDT12" s="473"/>
      <c r="RDU12" s="473"/>
      <c r="RDV12" s="473"/>
      <c r="RDW12" s="473"/>
      <c r="RDX12" s="473"/>
      <c r="RDY12" s="473"/>
      <c r="RDZ12" s="473"/>
      <c r="REA12" s="473"/>
      <c r="REB12" s="473"/>
      <c r="REC12" s="473"/>
      <c r="RED12" s="473"/>
      <c r="REE12" s="473"/>
      <c r="REF12" s="473"/>
      <c r="REG12" s="473"/>
      <c r="REH12" s="473"/>
      <c r="REI12" s="473"/>
      <c r="REJ12" s="473"/>
      <c r="REK12" s="473"/>
      <c r="REL12" s="473"/>
      <c r="REM12" s="473"/>
      <c r="REN12" s="473"/>
      <c r="REO12" s="473"/>
      <c r="REP12" s="473"/>
      <c r="REQ12" s="473"/>
      <c r="RER12" s="473"/>
      <c r="RES12" s="473"/>
      <c r="RET12" s="473"/>
      <c r="REU12" s="473"/>
      <c r="REV12" s="473"/>
      <c r="REW12" s="473"/>
      <c r="REX12" s="473"/>
      <c r="REY12" s="473"/>
      <c r="REZ12" s="473"/>
      <c r="RFA12" s="473"/>
      <c r="RFB12" s="473"/>
      <c r="RFC12" s="473"/>
      <c r="RFD12" s="473"/>
      <c r="RFE12" s="473"/>
      <c r="RFF12" s="473"/>
      <c r="RFG12" s="473"/>
      <c r="RFH12" s="473"/>
      <c r="RFI12" s="473"/>
      <c r="RFJ12" s="473"/>
      <c r="RFK12" s="473"/>
      <c r="RFL12" s="473"/>
      <c r="RFM12" s="473"/>
      <c r="RFN12" s="473"/>
      <c r="RFO12" s="473"/>
      <c r="RFP12" s="473"/>
      <c r="RFQ12" s="473"/>
      <c r="RFR12" s="473"/>
      <c r="RFS12" s="473"/>
      <c r="RFT12" s="473"/>
      <c r="RFU12" s="473"/>
      <c r="RFV12" s="473"/>
      <c r="RFW12" s="473"/>
      <c r="RFX12" s="473"/>
      <c r="RFY12" s="473"/>
      <c r="RFZ12" s="473"/>
      <c r="RGA12" s="473"/>
      <c r="RGB12" s="473"/>
      <c r="RGC12" s="473"/>
      <c r="RGD12" s="473"/>
      <c r="RGE12" s="473"/>
      <c r="RGF12" s="473"/>
      <c r="RGG12" s="473"/>
      <c r="RGH12" s="473"/>
      <c r="RGI12" s="473"/>
      <c r="RGJ12" s="473"/>
      <c r="RGK12" s="473"/>
      <c r="RGL12" s="473"/>
      <c r="RGM12" s="473"/>
      <c r="RGN12" s="473"/>
      <c r="RGO12" s="473"/>
      <c r="RGP12" s="473"/>
      <c r="RGQ12" s="473"/>
      <c r="RGR12" s="473"/>
      <c r="RGS12" s="473"/>
      <c r="RGT12" s="473"/>
      <c r="RGU12" s="473"/>
      <c r="RGV12" s="473"/>
      <c r="RGW12" s="473"/>
      <c r="RGX12" s="473"/>
      <c r="RGY12" s="473"/>
      <c r="RGZ12" s="473"/>
      <c r="RHA12" s="473"/>
      <c r="RHB12" s="473"/>
      <c r="RHC12" s="473"/>
      <c r="RHD12" s="473"/>
      <c r="RHE12" s="473"/>
      <c r="RHF12" s="473"/>
      <c r="RHG12" s="473"/>
      <c r="RHH12" s="473"/>
      <c r="RHI12" s="473"/>
      <c r="RHJ12" s="473"/>
      <c r="RHK12" s="473"/>
      <c r="RHL12" s="473"/>
      <c r="RHM12" s="473"/>
      <c r="RHN12" s="473"/>
      <c r="RHO12" s="473"/>
      <c r="RHP12" s="473"/>
      <c r="RHQ12" s="473"/>
      <c r="RHR12" s="473"/>
      <c r="RHS12" s="473"/>
      <c r="RHT12" s="473"/>
      <c r="RHU12" s="473"/>
      <c r="RHV12" s="473"/>
      <c r="RHW12" s="473"/>
      <c r="RHX12" s="473"/>
      <c r="RHY12" s="473"/>
      <c r="RHZ12" s="473"/>
      <c r="RIA12" s="473"/>
      <c r="RIB12" s="473"/>
      <c r="RIC12" s="473"/>
      <c r="RID12" s="473"/>
      <c r="RIE12" s="473"/>
      <c r="RIF12" s="473"/>
      <c r="RIG12" s="473"/>
      <c r="RIH12" s="473"/>
      <c r="RII12" s="473"/>
      <c r="RIJ12" s="473"/>
      <c r="RIK12" s="473"/>
      <c r="RIL12" s="473"/>
      <c r="RIM12" s="473"/>
      <c r="RIN12" s="473"/>
      <c r="RIO12" s="473"/>
      <c r="RIP12" s="473"/>
      <c r="RIQ12" s="473"/>
      <c r="RIR12" s="473"/>
      <c r="RIS12" s="473"/>
      <c r="RIT12" s="473"/>
      <c r="RIU12" s="473"/>
      <c r="RIV12" s="473"/>
      <c r="RIW12" s="473"/>
      <c r="RIX12" s="473"/>
      <c r="RIY12" s="473"/>
      <c r="RIZ12" s="473"/>
      <c r="RJA12" s="473"/>
      <c r="RJB12" s="473"/>
      <c r="RJC12" s="473"/>
      <c r="RJD12" s="473"/>
      <c r="RJE12" s="473"/>
      <c r="RJF12" s="473"/>
      <c r="RJG12" s="473"/>
      <c r="RJH12" s="473"/>
      <c r="RJI12" s="473"/>
      <c r="RJJ12" s="473"/>
      <c r="RJK12" s="473"/>
      <c r="RJL12" s="473"/>
      <c r="RJM12" s="473"/>
      <c r="RJN12" s="473"/>
      <c r="RJO12" s="473"/>
      <c r="RJP12" s="473"/>
      <c r="RJQ12" s="473"/>
      <c r="RJR12" s="473"/>
      <c r="RJS12" s="473"/>
      <c r="RJT12" s="473"/>
      <c r="RJU12" s="473"/>
      <c r="RJV12" s="473"/>
      <c r="RJW12" s="473"/>
      <c r="RJX12" s="473"/>
      <c r="RJY12" s="473"/>
      <c r="RJZ12" s="473"/>
      <c r="RKA12" s="473"/>
      <c r="RKB12" s="473"/>
      <c r="RKC12" s="473"/>
      <c r="RKD12" s="473"/>
      <c r="RKE12" s="473"/>
      <c r="RKF12" s="473"/>
      <c r="RKG12" s="473"/>
      <c r="RKH12" s="473"/>
      <c r="RKI12" s="473"/>
      <c r="RKJ12" s="473"/>
      <c r="RKK12" s="473"/>
      <c r="RKL12" s="473"/>
      <c r="RKM12" s="473"/>
      <c r="RKN12" s="473"/>
      <c r="RKO12" s="473"/>
      <c r="RKP12" s="473"/>
      <c r="RKQ12" s="473"/>
      <c r="RKR12" s="473"/>
      <c r="RKS12" s="473"/>
      <c r="RKT12" s="473"/>
      <c r="RKU12" s="473"/>
      <c r="RKV12" s="473"/>
      <c r="RKW12" s="473"/>
      <c r="RKX12" s="473"/>
      <c r="RKY12" s="473"/>
      <c r="RKZ12" s="473"/>
      <c r="RLA12" s="473"/>
      <c r="RLB12" s="473"/>
      <c r="RLC12" s="473"/>
      <c r="RLD12" s="473"/>
      <c r="RLE12" s="473"/>
      <c r="RLF12" s="473"/>
      <c r="RLG12" s="473"/>
      <c r="RLH12" s="473"/>
      <c r="RLI12" s="473"/>
      <c r="RLJ12" s="473"/>
      <c r="RLK12" s="473"/>
      <c r="RLL12" s="473"/>
      <c r="RLM12" s="473"/>
      <c r="RLN12" s="473"/>
      <c r="RLO12" s="473"/>
      <c r="RLP12" s="473"/>
      <c r="RLQ12" s="473"/>
      <c r="RLR12" s="473"/>
      <c r="RLS12" s="473"/>
      <c r="RLT12" s="473"/>
      <c r="RLU12" s="473"/>
      <c r="RLV12" s="473"/>
      <c r="RLW12" s="473"/>
      <c r="RLX12" s="473"/>
      <c r="RLY12" s="473"/>
      <c r="RLZ12" s="473"/>
      <c r="RMA12" s="473"/>
      <c r="RMB12" s="473"/>
      <c r="RMC12" s="473"/>
      <c r="RMD12" s="473"/>
      <c r="RME12" s="473"/>
      <c r="RMF12" s="473"/>
      <c r="RMG12" s="473"/>
      <c r="RMH12" s="473"/>
      <c r="RMI12" s="473"/>
      <c r="RMJ12" s="473"/>
      <c r="RMK12" s="473"/>
      <c r="RML12" s="473"/>
      <c r="RMM12" s="473"/>
      <c r="RMN12" s="473"/>
      <c r="RMO12" s="473"/>
      <c r="RMP12" s="473"/>
      <c r="RMQ12" s="473"/>
      <c r="RMR12" s="473"/>
      <c r="RMS12" s="473"/>
      <c r="RMT12" s="473"/>
      <c r="RMU12" s="473"/>
      <c r="RMV12" s="473"/>
      <c r="RMW12" s="473"/>
      <c r="RMX12" s="473"/>
      <c r="RMY12" s="473"/>
      <c r="RMZ12" s="473"/>
      <c r="RNA12" s="473"/>
      <c r="RNB12" s="473"/>
      <c r="RNC12" s="473"/>
      <c r="RND12" s="473"/>
      <c r="RNE12" s="473"/>
      <c r="RNF12" s="473"/>
      <c r="RNG12" s="473"/>
      <c r="RNH12" s="473"/>
      <c r="RNI12" s="473"/>
      <c r="RNJ12" s="473"/>
      <c r="RNK12" s="473"/>
      <c r="RNL12" s="473"/>
      <c r="RNM12" s="473"/>
      <c r="RNN12" s="473"/>
      <c r="RNO12" s="473"/>
      <c r="RNP12" s="473"/>
      <c r="RNQ12" s="473"/>
      <c r="RNR12" s="473"/>
      <c r="RNS12" s="473"/>
      <c r="RNT12" s="473"/>
      <c r="RNU12" s="473"/>
      <c r="RNV12" s="473"/>
      <c r="RNW12" s="473"/>
      <c r="RNX12" s="473"/>
      <c r="RNY12" s="473"/>
      <c r="RNZ12" s="473"/>
      <c r="ROA12" s="473"/>
      <c r="ROB12" s="473"/>
      <c r="ROC12" s="473"/>
      <c r="ROD12" s="473"/>
      <c r="ROE12" s="473"/>
      <c r="ROF12" s="473"/>
      <c r="ROG12" s="473"/>
      <c r="ROH12" s="473"/>
      <c r="ROI12" s="473"/>
      <c r="ROJ12" s="473"/>
      <c r="ROK12" s="473"/>
      <c r="ROL12" s="473"/>
      <c r="ROM12" s="473"/>
      <c r="RON12" s="473"/>
      <c r="ROO12" s="473"/>
      <c r="ROP12" s="473"/>
      <c r="ROQ12" s="473"/>
      <c r="ROR12" s="473"/>
      <c r="ROS12" s="473"/>
      <c r="ROT12" s="473"/>
      <c r="ROU12" s="473"/>
      <c r="ROV12" s="473"/>
      <c r="ROW12" s="473"/>
      <c r="ROX12" s="473"/>
      <c r="ROY12" s="473"/>
      <c r="ROZ12" s="473"/>
      <c r="RPA12" s="473"/>
      <c r="RPB12" s="473"/>
      <c r="RPC12" s="473"/>
      <c r="RPD12" s="473"/>
      <c r="RPE12" s="473"/>
      <c r="RPF12" s="473"/>
      <c r="RPG12" s="473"/>
      <c r="RPH12" s="473"/>
      <c r="RPI12" s="473"/>
      <c r="RPJ12" s="473"/>
      <c r="RPK12" s="473"/>
      <c r="RPL12" s="473"/>
      <c r="RPM12" s="473"/>
      <c r="RPN12" s="473"/>
      <c r="RPO12" s="473"/>
      <c r="RPP12" s="473"/>
      <c r="RPQ12" s="473"/>
      <c r="RPR12" s="473"/>
      <c r="RPS12" s="473"/>
      <c r="RPT12" s="473"/>
      <c r="RPU12" s="473"/>
      <c r="RPV12" s="473"/>
      <c r="RPW12" s="473"/>
      <c r="RPX12" s="473"/>
      <c r="RPY12" s="473"/>
      <c r="RPZ12" s="473"/>
      <c r="RQA12" s="473"/>
      <c r="RQB12" s="473"/>
      <c r="RQC12" s="473"/>
      <c r="RQD12" s="473"/>
      <c r="RQE12" s="473"/>
      <c r="RQF12" s="473"/>
      <c r="RQG12" s="473"/>
      <c r="RQH12" s="473"/>
      <c r="RQI12" s="473"/>
      <c r="RQJ12" s="473"/>
      <c r="RQK12" s="473"/>
      <c r="RQL12" s="473"/>
      <c r="RQM12" s="473"/>
      <c r="RQN12" s="473"/>
      <c r="RQO12" s="473"/>
      <c r="RQP12" s="473"/>
      <c r="RQQ12" s="473"/>
      <c r="RQR12" s="473"/>
      <c r="RQS12" s="473"/>
      <c r="RQT12" s="473"/>
      <c r="RQU12" s="473"/>
      <c r="RQV12" s="473"/>
      <c r="RQW12" s="473"/>
      <c r="RQX12" s="473"/>
      <c r="RQY12" s="473"/>
      <c r="RQZ12" s="473"/>
      <c r="RRA12" s="473"/>
      <c r="RRB12" s="473"/>
      <c r="RRC12" s="473"/>
      <c r="RRD12" s="473"/>
      <c r="RRE12" s="473"/>
      <c r="RRF12" s="473"/>
      <c r="RRG12" s="473"/>
      <c r="RRH12" s="473"/>
      <c r="RRI12" s="473"/>
      <c r="RRJ12" s="473"/>
      <c r="RRK12" s="473"/>
      <c r="RRL12" s="473"/>
      <c r="RRM12" s="473"/>
      <c r="RRN12" s="473"/>
      <c r="RRO12" s="473"/>
      <c r="RRP12" s="473"/>
      <c r="RRQ12" s="473"/>
      <c r="RRR12" s="473"/>
      <c r="RRS12" s="473"/>
      <c r="RRT12" s="473"/>
      <c r="RRU12" s="473"/>
      <c r="RRV12" s="473"/>
      <c r="RRW12" s="473"/>
      <c r="RRX12" s="473"/>
      <c r="RRY12" s="473"/>
      <c r="RRZ12" s="473"/>
      <c r="RSA12" s="473"/>
      <c r="RSB12" s="473"/>
      <c r="RSC12" s="473"/>
      <c r="RSD12" s="473"/>
      <c r="RSE12" s="473"/>
      <c r="RSF12" s="473"/>
      <c r="RSG12" s="473"/>
      <c r="RSH12" s="473"/>
      <c r="RSI12" s="473"/>
      <c r="RSJ12" s="473"/>
      <c r="RSK12" s="473"/>
      <c r="RSL12" s="473"/>
      <c r="RSM12" s="473"/>
      <c r="RSN12" s="473"/>
      <c r="RSO12" s="473"/>
      <c r="RSP12" s="473"/>
      <c r="RSQ12" s="473"/>
      <c r="RSR12" s="473"/>
      <c r="RSS12" s="473"/>
      <c r="RST12" s="473"/>
      <c r="RSU12" s="473"/>
      <c r="RSV12" s="473"/>
      <c r="RSW12" s="473"/>
      <c r="RSX12" s="473"/>
      <c r="RSY12" s="473"/>
      <c r="RSZ12" s="473"/>
      <c r="RTA12" s="473"/>
      <c r="RTB12" s="473"/>
      <c r="RTC12" s="473"/>
      <c r="RTD12" s="473"/>
      <c r="RTE12" s="473"/>
      <c r="RTF12" s="473"/>
      <c r="RTG12" s="473"/>
      <c r="RTH12" s="473"/>
      <c r="RTI12" s="473"/>
      <c r="RTJ12" s="473"/>
      <c r="RTK12" s="473"/>
      <c r="RTL12" s="473"/>
      <c r="RTM12" s="473"/>
      <c r="RTN12" s="473"/>
      <c r="RTO12" s="473"/>
      <c r="RTP12" s="473"/>
      <c r="RTQ12" s="473"/>
      <c r="RTR12" s="473"/>
      <c r="RTS12" s="473"/>
      <c r="RTT12" s="473"/>
      <c r="RTU12" s="473"/>
      <c r="RTV12" s="473"/>
      <c r="RTW12" s="473"/>
      <c r="RTX12" s="473"/>
      <c r="RTY12" s="473"/>
      <c r="RTZ12" s="473"/>
      <c r="RUA12" s="473"/>
      <c r="RUB12" s="473"/>
      <c r="RUC12" s="473"/>
      <c r="RUD12" s="473"/>
      <c r="RUE12" s="473"/>
      <c r="RUF12" s="473"/>
      <c r="RUG12" s="473"/>
      <c r="RUH12" s="473"/>
      <c r="RUI12" s="473"/>
      <c r="RUJ12" s="473"/>
      <c r="RUK12" s="473"/>
      <c r="RUL12" s="473"/>
      <c r="RUM12" s="473"/>
      <c r="RUN12" s="473"/>
      <c r="RUO12" s="473"/>
      <c r="RUP12" s="473"/>
      <c r="RUQ12" s="473"/>
      <c r="RUR12" s="473"/>
      <c r="RUS12" s="473"/>
      <c r="RUT12" s="473"/>
      <c r="RUU12" s="473"/>
      <c r="RUV12" s="473"/>
      <c r="RUW12" s="473"/>
      <c r="RUX12" s="473"/>
      <c r="RUY12" s="473"/>
      <c r="RUZ12" s="473"/>
      <c r="RVA12" s="473"/>
      <c r="RVB12" s="473"/>
      <c r="RVC12" s="473"/>
      <c r="RVD12" s="473"/>
      <c r="RVE12" s="473"/>
      <c r="RVF12" s="473"/>
      <c r="RVG12" s="473"/>
      <c r="RVH12" s="473"/>
      <c r="RVI12" s="473"/>
      <c r="RVJ12" s="473"/>
      <c r="RVK12" s="473"/>
      <c r="RVL12" s="473"/>
      <c r="RVM12" s="473"/>
      <c r="RVN12" s="473"/>
      <c r="RVO12" s="473"/>
      <c r="RVP12" s="473"/>
      <c r="RVQ12" s="473"/>
      <c r="RVR12" s="473"/>
      <c r="RVS12" s="473"/>
      <c r="RVT12" s="473"/>
      <c r="RVU12" s="473"/>
      <c r="RVV12" s="473"/>
      <c r="RVW12" s="473"/>
      <c r="RVX12" s="473"/>
      <c r="RVY12" s="473"/>
      <c r="RVZ12" s="473"/>
      <c r="RWA12" s="473"/>
      <c r="RWB12" s="473"/>
      <c r="RWC12" s="473"/>
      <c r="RWD12" s="473"/>
      <c r="RWE12" s="473"/>
      <c r="RWF12" s="473"/>
      <c r="RWG12" s="473"/>
      <c r="RWH12" s="473"/>
      <c r="RWI12" s="473"/>
      <c r="RWJ12" s="473"/>
      <c r="RWK12" s="473"/>
      <c r="RWL12" s="473"/>
      <c r="RWM12" s="473"/>
      <c r="RWN12" s="473"/>
      <c r="RWO12" s="473"/>
      <c r="RWP12" s="473"/>
      <c r="RWQ12" s="473"/>
      <c r="RWR12" s="473"/>
      <c r="RWS12" s="473"/>
      <c r="RWT12" s="473"/>
      <c r="RWU12" s="473"/>
      <c r="RWV12" s="473"/>
      <c r="RWW12" s="473"/>
      <c r="RWX12" s="473"/>
      <c r="RWY12" s="473"/>
      <c r="RWZ12" s="473"/>
      <c r="RXA12" s="473"/>
      <c r="RXB12" s="473"/>
      <c r="RXC12" s="473"/>
      <c r="RXD12" s="473"/>
      <c r="RXE12" s="473"/>
      <c r="RXF12" s="473"/>
      <c r="RXG12" s="473"/>
      <c r="RXH12" s="473"/>
      <c r="RXI12" s="473"/>
      <c r="RXJ12" s="473"/>
      <c r="RXK12" s="473"/>
      <c r="RXL12" s="473"/>
      <c r="RXM12" s="473"/>
      <c r="RXN12" s="473"/>
      <c r="RXO12" s="473"/>
      <c r="RXP12" s="473"/>
      <c r="RXQ12" s="473"/>
      <c r="RXR12" s="473"/>
      <c r="RXS12" s="473"/>
      <c r="RXT12" s="473"/>
      <c r="RXU12" s="473"/>
      <c r="RXV12" s="473"/>
      <c r="RXW12" s="473"/>
      <c r="RXX12" s="473"/>
      <c r="RXY12" s="473"/>
      <c r="RXZ12" s="473"/>
      <c r="RYA12" s="473"/>
      <c r="RYB12" s="473"/>
      <c r="RYC12" s="473"/>
      <c r="RYD12" s="473"/>
      <c r="RYE12" s="473"/>
      <c r="RYF12" s="473"/>
      <c r="RYG12" s="473"/>
      <c r="RYH12" s="473"/>
      <c r="RYI12" s="473"/>
      <c r="RYJ12" s="473"/>
      <c r="RYK12" s="473"/>
      <c r="RYL12" s="473"/>
      <c r="RYM12" s="473"/>
      <c r="RYN12" s="473"/>
      <c r="RYO12" s="473"/>
      <c r="RYP12" s="473"/>
      <c r="RYQ12" s="473"/>
      <c r="RYR12" s="473"/>
      <c r="RYS12" s="473"/>
      <c r="RYT12" s="473"/>
      <c r="RYU12" s="473"/>
      <c r="RYV12" s="473"/>
      <c r="RYW12" s="473"/>
      <c r="RYX12" s="473"/>
      <c r="RYY12" s="473"/>
      <c r="RYZ12" s="473"/>
      <c r="RZA12" s="473"/>
      <c r="RZB12" s="473"/>
      <c r="RZC12" s="473"/>
      <c r="RZD12" s="473"/>
      <c r="RZE12" s="473"/>
      <c r="RZF12" s="473"/>
      <c r="RZG12" s="473"/>
      <c r="RZH12" s="473"/>
      <c r="RZI12" s="473"/>
      <c r="RZJ12" s="473"/>
      <c r="RZK12" s="473"/>
      <c r="RZL12" s="473"/>
      <c r="RZM12" s="473"/>
      <c r="RZN12" s="473"/>
      <c r="RZO12" s="473"/>
      <c r="RZP12" s="473"/>
      <c r="RZQ12" s="473"/>
      <c r="RZR12" s="473"/>
      <c r="RZS12" s="473"/>
      <c r="RZT12" s="473"/>
      <c r="RZU12" s="473"/>
      <c r="RZV12" s="473"/>
      <c r="RZW12" s="473"/>
      <c r="RZX12" s="473"/>
      <c r="RZY12" s="473"/>
      <c r="RZZ12" s="473"/>
      <c r="SAA12" s="473"/>
      <c r="SAB12" s="473"/>
      <c r="SAC12" s="473"/>
      <c r="SAD12" s="473"/>
      <c r="SAE12" s="473"/>
      <c r="SAF12" s="473"/>
      <c r="SAG12" s="473"/>
      <c r="SAH12" s="473"/>
      <c r="SAI12" s="473"/>
      <c r="SAJ12" s="473"/>
      <c r="SAK12" s="473"/>
      <c r="SAL12" s="473"/>
      <c r="SAM12" s="473"/>
      <c r="SAN12" s="473"/>
      <c r="SAO12" s="473"/>
      <c r="SAP12" s="473"/>
      <c r="SAQ12" s="473"/>
      <c r="SAR12" s="473"/>
      <c r="SAS12" s="473"/>
      <c r="SAT12" s="473"/>
      <c r="SAU12" s="473"/>
      <c r="SAV12" s="473"/>
      <c r="SAW12" s="473"/>
      <c r="SAX12" s="473"/>
      <c r="SAY12" s="473"/>
      <c r="SAZ12" s="473"/>
      <c r="SBA12" s="473"/>
      <c r="SBB12" s="473"/>
      <c r="SBC12" s="473"/>
      <c r="SBD12" s="473"/>
      <c r="SBE12" s="473"/>
      <c r="SBF12" s="473"/>
      <c r="SBG12" s="473"/>
      <c r="SBH12" s="473"/>
      <c r="SBI12" s="473"/>
      <c r="SBJ12" s="473"/>
      <c r="SBK12" s="473"/>
      <c r="SBL12" s="473"/>
      <c r="SBM12" s="473"/>
      <c r="SBN12" s="473"/>
      <c r="SBO12" s="473"/>
      <c r="SBP12" s="473"/>
      <c r="SBQ12" s="473"/>
      <c r="SBR12" s="473"/>
      <c r="SBS12" s="473"/>
      <c r="SBT12" s="473"/>
      <c r="SBU12" s="473"/>
      <c r="SBV12" s="473"/>
      <c r="SBW12" s="473"/>
      <c r="SBX12" s="473"/>
      <c r="SBY12" s="473"/>
      <c r="SBZ12" s="473"/>
      <c r="SCA12" s="473"/>
      <c r="SCB12" s="473"/>
      <c r="SCC12" s="473"/>
      <c r="SCD12" s="473"/>
      <c r="SCE12" s="473"/>
      <c r="SCF12" s="473"/>
      <c r="SCG12" s="473"/>
      <c r="SCH12" s="473"/>
      <c r="SCI12" s="473"/>
      <c r="SCJ12" s="473"/>
      <c r="SCK12" s="473"/>
      <c r="SCL12" s="473"/>
      <c r="SCM12" s="473"/>
      <c r="SCN12" s="473"/>
      <c r="SCO12" s="473"/>
      <c r="SCP12" s="473"/>
      <c r="SCQ12" s="473"/>
      <c r="SCR12" s="473"/>
      <c r="SCS12" s="473"/>
      <c r="SCT12" s="473"/>
      <c r="SCU12" s="473"/>
      <c r="SCV12" s="473"/>
      <c r="SCW12" s="473"/>
      <c r="SCX12" s="473"/>
      <c r="SCY12" s="473"/>
      <c r="SCZ12" s="473"/>
      <c r="SDA12" s="473"/>
      <c r="SDB12" s="473"/>
      <c r="SDC12" s="473"/>
      <c r="SDD12" s="473"/>
      <c r="SDE12" s="473"/>
      <c r="SDF12" s="473"/>
      <c r="SDG12" s="473"/>
      <c r="SDH12" s="473"/>
      <c r="SDI12" s="473"/>
      <c r="SDJ12" s="473"/>
      <c r="SDK12" s="473"/>
      <c r="SDL12" s="473"/>
      <c r="SDM12" s="473"/>
      <c r="SDN12" s="473"/>
      <c r="SDO12" s="473"/>
      <c r="SDP12" s="473"/>
      <c r="SDQ12" s="473"/>
      <c r="SDR12" s="473"/>
      <c r="SDS12" s="473"/>
      <c r="SDT12" s="473"/>
      <c r="SDU12" s="473"/>
      <c r="SDV12" s="473"/>
      <c r="SDW12" s="473"/>
      <c r="SDX12" s="473"/>
      <c r="SDY12" s="473"/>
      <c r="SDZ12" s="473"/>
      <c r="SEA12" s="473"/>
      <c r="SEB12" s="473"/>
      <c r="SEC12" s="473"/>
      <c r="SED12" s="473"/>
      <c r="SEE12" s="473"/>
      <c r="SEF12" s="473"/>
      <c r="SEG12" s="473"/>
      <c r="SEH12" s="473"/>
      <c r="SEI12" s="473"/>
      <c r="SEJ12" s="473"/>
      <c r="SEK12" s="473"/>
      <c r="SEL12" s="473"/>
      <c r="SEM12" s="473"/>
      <c r="SEN12" s="473"/>
      <c r="SEO12" s="473"/>
      <c r="SEP12" s="473"/>
      <c r="SEQ12" s="473"/>
      <c r="SER12" s="473"/>
      <c r="SES12" s="473"/>
      <c r="SET12" s="473"/>
      <c r="SEU12" s="473"/>
      <c r="SEV12" s="473"/>
      <c r="SEW12" s="473"/>
      <c r="SEX12" s="473"/>
      <c r="SEY12" s="473"/>
      <c r="SEZ12" s="473"/>
      <c r="SFA12" s="473"/>
      <c r="SFB12" s="473"/>
      <c r="SFC12" s="473"/>
      <c r="SFD12" s="473"/>
      <c r="SFE12" s="473"/>
      <c r="SFF12" s="473"/>
      <c r="SFG12" s="473"/>
      <c r="SFH12" s="473"/>
      <c r="SFI12" s="473"/>
      <c r="SFJ12" s="473"/>
      <c r="SFK12" s="473"/>
      <c r="SFL12" s="473"/>
      <c r="SFM12" s="473"/>
      <c r="SFN12" s="473"/>
      <c r="SFO12" s="473"/>
      <c r="SFP12" s="473"/>
      <c r="SFQ12" s="473"/>
      <c r="SFR12" s="473"/>
      <c r="SFS12" s="473"/>
      <c r="SFT12" s="473"/>
      <c r="SFU12" s="473"/>
      <c r="SFV12" s="473"/>
      <c r="SFW12" s="473"/>
      <c r="SFX12" s="473"/>
      <c r="SFY12" s="473"/>
      <c r="SFZ12" s="473"/>
      <c r="SGA12" s="473"/>
      <c r="SGB12" s="473"/>
      <c r="SGC12" s="473"/>
      <c r="SGD12" s="473"/>
      <c r="SGE12" s="473"/>
      <c r="SGF12" s="473"/>
      <c r="SGG12" s="473"/>
      <c r="SGH12" s="473"/>
      <c r="SGI12" s="473"/>
      <c r="SGJ12" s="473"/>
      <c r="SGK12" s="473"/>
      <c r="SGL12" s="473"/>
      <c r="SGM12" s="473"/>
      <c r="SGN12" s="473"/>
      <c r="SGO12" s="473"/>
      <c r="SGP12" s="473"/>
      <c r="SGQ12" s="473"/>
      <c r="SGR12" s="473"/>
      <c r="SGS12" s="473"/>
      <c r="SGT12" s="473"/>
      <c r="SGU12" s="473"/>
      <c r="SGV12" s="473"/>
      <c r="SGW12" s="473"/>
      <c r="SGX12" s="473"/>
      <c r="SGY12" s="473"/>
      <c r="SGZ12" s="473"/>
      <c r="SHA12" s="473"/>
      <c r="SHB12" s="473"/>
      <c r="SHC12" s="473"/>
      <c r="SHD12" s="473"/>
      <c r="SHE12" s="473"/>
      <c r="SHF12" s="473"/>
      <c r="SHG12" s="473"/>
      <c r="SHH12" s="473"/>
      <c r="SHI12" s="473"/>
      <c r="SHJ12" s="473"/>
      <c r="SHK12" s="473"/>
      <c r="SHL12" s="473"/>
      <c r="SHM12" s="473"/>
      <c r="SHN12" s="473"/>
      <c r="SHO12" s="473"/>
      <c r="SHP12" s="473"/>
      <c r="SHQ12" s="473"/>
      <c r="SHR12" s="473"/>
      <c r="SHS12" s="473"/>
      <c r="SHT12" s="473"/>
      <c r="SHU12" s="473"/>
      <c r="SHV12" s="473"/>
      <c r="SHW12" s="473"/>
      <c r="SHX12" s="473"/>
      <c r="SHY12" s="473"/>
      <c r="SHZ12" s="473"/>
      <c r="SIA12" s="473"/>
      <c r="SIB12" s="473"/>
      <c r="SIC12" s="473"/>
      <c r="SID12" s="473"/>
      <c r="SIE12" s="473"/>
      <c r="SIF12" s="473"/>
      <c r="SIG12" s="473"/>
      <c r="SIH12" s="473"/>
      <c r="SII12" s="473"/>
      <c r="SIJ12" s="473"/>
      <c r="SIK12" s="473"/>
      <c r="SIL12" s="473"/>
      <c r="SIM12" s="473"/>
      <c r="SIN12" s="473"/>
      <c r="SIO12" s="473"/>
      <c r="SIP12" s="473"/>
      <c r="SIQ12" s="473"/>
      <c r="SIR12" s="473"/>
      <c r="SIS12" s="473"/>
      <c r="SIT12" s="473"/>
      <c r="SIU12" s="473"/>
      <c r="SIV12" s="473"/>
      <c r="SIW12" s="473"/>
      <c r="SIX12" s="473"/>
      <c r="SIY12" s="473"/>
      <c r="SIZ12" s="473"/>
      <c r="SJA12" s="473"/>
      <c r="SJB12" s="473"/>
      <c r="SJC12" s="473"/>
      <c r="SJD12" s="473"/>
      <c r="SJE12" s="473"/>
      <c r="SJF12" s="473"/>
      <c r="SJG12" s="473"/>
      <c r="SJH12" s="473"/>
      <c r="SJI12" s="473"/>
      <c r="SJJ12" s="473"/>
      <c r="SJK12" s="473"/>
      <c r="SJL12" s="473"/>
      <c r="SJM12" s="473"/>
      <c r="SJN12" s="473"/>
      <c r="SJO12" s="473"/>
      <c r="SJP12" s="473"/>
      <c r="SJQ12" s="473"/>
      <c r="SJR12" s="473"/>
      <c r="SJS12" s="473"/>
      <c r="SJT12" s="473"/>
      <c r="SJU12" s="473"/>
      <c r="SJV12" s="473"/>
      <c r="SJW12" s="473"/>
      <c r="SJX12" s="473"/>
      <c r="SJY12" s="473"/>
      <c r="SJZ12" s="473"/>
      <c r="SKA12" s="473"/>
      <c r="SKB12" s="473"/>
      <c r="SKC12" s="473"/>
      <c r="SKD12" s="473"/>
      <c r="SKE12" s="473"/>
      <c r="SKF12" s="473"/>
      <c r="SKG12" s="473"/>
      <c r="SKH12" s="473"/>
      <c r="SKI12" s="473"/>
      <c r="SKJ12" s="473"/>
      <c r="SKK12" s="473"/>
      <c r="SKL12" s="473"/>
      <c r="SKM12" s="473"/>
      <c r="SKN12" s="473"/>
      <c r="SKO12" s="473"/>
      <c r="SKP12" s="473"/>
      <c r="SKQ12" s="473"/>
      <c r="SKR12" s="473"/>
      <c r="SKS12" s="473"/>
      <c r="SKT12" s="473"/>
      <c r="SKU12" s="473"/>
      <c r="SKV12" s="473"/>
      <c r="SKW12" s="473"/>
      <c r="SKX12" s="473"/>
      <c r="SKY12" s="473"/>
      <c r="SKZ12" s="473"/>
      <c r="SLA12" s="473"/>
      <c r="SLB12" s="473"/>
      <c r="SLC12" s="473"/>
      <c r="SLD12" s="473"/>
      <c r="SLE12" s="473"/>
      <c r="SLF12" s="473"/>
      <c r="SLG12" s="473"/>
      <c r="SLH12" s="473"/>
      <c r="SLI12" s="473"/>
      <c r="SLJ12" s="473"/>
      <c r="SLK12" s="473"/>
      <c r="SLL12" s="473"/>
      <c r="SLM12" s="473"/>
      <c r="SLN12" s="473"/>
      <c r="SLO12" s="473"/>
      <c r="SLP12" s="473"/>
      <c r="SLQ12" s="473"/>
      <c r="SLR12" s="473"/>
      <c r="SLS12" s="473"/>
      <c r="SLT12" s="473"/>
      <c r="SLU12" s="473"/>
      <c r="SLV12" s="473"/>
      <c r="SLW12" s="473"/>
      <c r="SLX12" s="473"/>
      <c r="SLY12" s="473"/>
      <c r="SLZ12" s="473"/>
      <c r="SMA12" s="473"/>
      <c r="SMB12" s="473"/>
      <c r="SMC12" s="473"/>
      <c r="SMD12" s="473"/>
      <c r="SME12" s="473"/>
      <c r="SMF12" s="473"/>
      <c r="SMG12" s="473"/>
      <c r="SMH12" s="473"/>
      <c r="SMI12" s="473"/>
      <c r="SMJ12" s="473"/>
      <c r="SMK12" s="473"/>
      <c r="SML12" s="473"/>
      <c r="SMM12" s="473"/>
      <c r="SMN12" s="473"/>
      <c r="SMO12" s="473"/>
      <c r="SMP12" s="473"/>
      <c r="SMQ12" s="473"/>
      <c r="SMR12" s="473"/>
      <c r="SMS12" s="473"/>
      <c r="SMT12" s="473"/>
      <c r="SMU12" s="473"/>
      <c r="SMV12" s="473"/>
      <c r="SMW12" s="473"/>
      <c r="SMX12" s="473"/>
      <c r="SMY12" s="473"/>
      <c r="SMZ12" s="473"/>
      <c r="SNA12" s="473"/>
      <c r="SNB12" s="473"/>
      <c r="SNC12" s="473"/>
      <c r="SND12" s="473"/>
      <c r="SNE12" s="473"/>
      <c r="SNF12" s="473"/>
      <c r="SNG12" s="473"/>
      <c r="SNH12" s="473"/>
      <c r="SNI12" s="473"/>
      <c r="SNJ12" s="473"/>
      <c r="SNK12" s="473"/>
      <c r="SNL12" s="473"/>
      <c r="SNM12" s="473"/>
      <c r="SNN12" s="473"/>
      <c r="SNO12" s="473"/>
      <c r="SNP12" s="473"/>
      <c r="SNQ12" s="473"/>
      <c r="SNR12" s="473"/>
      <c r="SNS12" s="473"/>
      <c r="SNT12" s="473"/>
      <c r="SNU12" s="473"/>
      <c r="SNV12" s="473"/>
      <c r="SNW12" s="473"/>
      <c r="SNX12" s="473"/>
      <c r="SNY12" s="473"/>
      <c r="SNZ12" s="473"/>
      <c r="SOA12" s="473"/>
      <c r="SOB12" s="473"/>
      <c r="SOC12" s="473"/>
      <c r="SOD12" s="473"/>
      <c r="SOE12" s="473"/>
      <c r="SOF12" s="473"/>
      <c r="SOG12" s="473"/>
      <c r="SOH12" s="473"/>
      <c r="SOI12" s="473"/>
      <c r="SOJ12" s="473"/>
      <c r="SOK12" s="473"/>
      <c r="SOL12" s="473"/>
      <c r="SOM12" s="473"/>
      <c r="SON12" s="473"/>
      <c r="SOO12" s="473"/>
      <c r="SOP12" s="473"/>
      <c r="SOQ12" s="473"/>
      <c r="SOR12" s="473"/>
      <c r="SOS12" s="473"/>
      <c r="SOT12" s="473"/>
      <c r="SOU12" s="473"/>
      <c r="SOV12" s="473"/>
      <c r="SOW12" s="473"/>
      <c r="SOX12" s="473"/>
      <c r="SOY12" s="473"/>
      <c r="SOZ12" s="473"/>
      <c r="SPA12" s="473"/>
      <c r="SPB12" s="473"/>
      <c r="SPC12" s="473"/>
      <c r="SPD12" s="473"/>
      <c r="SPE12" s="473"/>
      <c r="SPF12" s="473"/>
      <c r="SPG12" s="473"/>
      <c r="SPH12" s="473"/>
      <c r="SPI12" s="473"/>
      <c r="SPJ12" s="473"/>
      <c r="SPK12" s="473"/>
      <c r="SPL12" s="473"/>
      <c r="SPM12" s="473"/>
      <c r="SPN12" s="473"/>
      <c r="SPO12" s="473"/>
      <c r="SPP12" s="473"/>
      <c r="SPQ12" s="473"/>
      <c r="SPR12" s="473"/>
      <c r="SPS12" s="473"/>
      <c r="SPT12" s="473"/>
      <c r="SPU12" s="473"/>
      <c r="SPV12" s="473"/>
      <c r="SPW12" s="473"/>
      <c r="SPX12" s="473"/>
      <c r="SPY12" s="473"/>
      <c r="SPZ12" s="473"/>
      <c r="SQA12" s="473"/>
      <c r="SQB12" s="473"/>
      <c r="SQC12" s="473"/>
      <c r="SQD12" s="473"/>
      <c r="SQE12" s="473"/>
      <c r="SQF12" s="473"/>
      <c r="SQG12" s="473"/>
      <c r="SQH12" s="473"/>
      <c r="SQI12" s="473"/>
      <c r="SQJ12" s="473"/>
      <c r="SQK12" s="473"/>
      <c r="SQL12" s="473"/>
      <c r="SQM12" s="473"/>
      <c r="SQN12" s="473"/>
      <c r="SQO12" s="473"/>
      <c r="SQP12" s="473"/>
      <c r="SQQ12" s="473"/>
      <c r="SQR12" s="473"/>
      <c r="SQS12" s="473"/>
      <c r="SQT12" s="473"/>
      <c r="SQU12" s="473"/>
      <c r="SQV12" s="473"/>
      <c r="SQW12" s="473"/>
      <c r="SQX12" s="473"/>
      <c r="SQY12" s="473"/>
      <c r="SQZ12" s="473"/>
      <c r="SRA12" s="473"/>
      <c r="SRB12" s="473"/>
      <c r="SRC12" s="473"/>
      <c r="SRD12" s="473"/>
      <c r="SRE12" s="473"/>
      <c r="SRF12" s="473"/>
      <c r="SRG12" s="473"/>
      <c r="SRH12" s="473"/>
      <c r="SRI12" s="473"/>
      <c r="SRJ12" s="473"/>
      <c r="SRK12" s="473"/>
      <c r="SRL12" s="473"/>
      <c r="SRM12" s="473"/>
      <c r="SRN12" s="473"/>
      <c r="SRO12" s="473"/>
      <c r="SRP12" s="473"/>
      <c r="SRQ12" s="473"/>
      <c r="SRR12" s="473"/>
      <c r="SRS12" s="473"/>
      <c r="SRT12" s="473"/>
      <c r="SRU12" s="473"/>
      <c r="SRV12" s="473"/>
      <c r="SRW12" s="473"/>
      <c r="SRX12" s="473"/>
      <c r="SRY12" s="473"/>
      <c r="SRZ12" s="473"/>
      <c r="SSA12" s="473"/>
      <c r="SSB12" s="473"/>
      <c r="SSC12" s="473"/>
      <c r="SSD12" s="473"/>
      <c r="SSE12" s="473"/>
      <c r="SSF12" s="473"/>
      <c r="SSG12" s="473"/>
      <c r="SSH12" s="473"/>
      <c r="SSI12" s="473"/>
      <c r="SSJ12" s="473"/>
      <c r="SSK12" s="473"/>
      <c r="SSL12" s="473"/>
      <c r="SSM12" s="473"/>
      <c r="SSN12" s="473"/>
      <c r="SSO12" s="473"/>
      <c r="SSP12" s="473"/>
      <c r="SSQ12" s="473"/>
      <c r="SSR12" s="473"/>
      <c r="SSS12" s="473"/>
      <c r="SST12" s="473"/>
      <c r="SSU12" s="473"/>
      <c r="SSV12" s="473"/>
      <c r="SSW12" s="473"/>
      <c r="SSX12" s="473"/>
      <c r="SSY12" s="473"/>
      <c r="SSZ12" s="473"/>
      <c r="STA12" s="473"/>
      <c r="STB12" s="473"/>
      <c r="STC12" s="473"/>
      <c r="STD12" s="473"/>
      <c r="STE12" s="473"/>
      <c r="STF12" s="473"/>
      <c r="STG12" s="473"/>
      <c r="STH12" s="473"/>
      <c r="STI12" s="473"/>
      <c r="STJ12" s="473"/>
      <c r="STK12" s="473"/>
      <c r="STL12" s="473"/>
      <c r="STM12" s="473"/>
      <c r="STN12" s="473"/>
      <c r="STO12" s="473"/>
      <c r="STP12" s="473"/>
      <c r="STQ12" s="473"/>
      <c r="STR12" s="473"/>
      <c r="STS12" s="473"/>
      <c r="STT12" s="473"/>
      <c r="STU12" s="473"/>
      <c r="STV12" s="473"/>
      <c r="STW12" s="473"/>
      <c r="STX12" s="473"/>
      <c r="STY12" s="473"/>
      <c r="STZ12" s="473"/>
      <c r="SUA12" s="473"/>
      <c r="SUB12" s="473"/>
      <c r="SUC12" s="473"/>
      <c r="SUD12" s="473"/>
      <c r="SUE12" s="473"/>
      <c r="SUF12" s="473"/>
      <c r="SUG12" s="473"/>
      <c r="SUH12" s="473"/>
      <c r="SUI12" s="473"/>
      <c r="SUJ12" s="473"/>
      <c r="SUK12" s="473"/>
      <c r="SUL12" s="473"/>
      <c r="SUM12" s="473"/>
      <c r="SUN12" s="473"/>
      <c r="SUO12" s="473"/>
      <c r="SUP12" s="473"/>
      <c r="SUQ12" s="473"/>
      <c r="SUR12" s="473"/>
      <c r="SUS12" s="473"/>
      <c r="SUT12" s="473"/>
      <c r="SUU12" s="473"/>
      <c r="SUV12" s="473"/>
      <c r="SUW12" s="473"/>
      <c r="SUX12" s="473"/>
      <c r="SUY12" s="473"/>
      <c r="SUZ12" s="473"/>
      <c r="SVA12" s="473"/>
      <c r="SVB12" s="473"/>
      <c r="SVC12" s="473"/>
      <c r="SVD12" s="473"/>
      <c r="SVE12" s="473"/>
      <c r="SVF12" s="473"/>
      <c r="SVG12" s="473"/>
      <c r="SVH12" s="473"/>
      <c r="SVI12" s="473"/>
      <c r="SVJ12" s="473"/>
      <c r="SVK12" s="473"/>
      <c r="SVL12" s="473"/>
      <c r="SVM12" s="473"/>
      <c r="SVN12" s="473"/>
      <c r="SVO12" s="473"/>
      <c r="SVP12" s="473"/>
      <c r="SVQ12" s="473"/>
      <c r="SVR12" s="473"/>
      <c r="SVS12" s="473"/>
      <c r="SVT12" s="473"/>
      <c r="SVU12" s="473"/>
      <c r="SVV12" s="473"/>
      <c r="SVW12" s="473"/>
      <c r="SVX12" s="473"/>
      <c r="SVY12" s="473"/>
      <c r="SVZ12" s="473"/>
      <c r="SWA12" s="473"/>
      <c r="SWB12" s="473"/>
      <c r="SWC12" s="473"/>
      <c r="SWD12" s="473"/>
      <c r="SWE12" s="473"/>
      <c r="SWF12" s="473"/>
      <c r="SWG12" s="473"/>
      <c r="SWH12" s="473"/>
      <c r="SWI12" s="473"/>
      <c r="SWJ12" s="473"/>
      <c r="SWK12" s="473"/>
      <c r="SWL12" s="473"/>
      <c r="SWM12" s="473"/>
      <c r="SWN12" s="473"/>
      <c r="SWO12" s="473"/>
      <c r="SWP12" s="473"/>
      <c r="SWQ12" s="473"/>
      <c r="SWR12" s="473"/>
      <c r="SWS12" s="473"/>
      <c r="SWT12" s="473"/>
      <c r="SWU12" s="473"/>
      <c r="SWV12" s="473"/>
      <c r="SWW12" s="473"/>
      <c r="SWX12" s="473"/>
      <c r="SWY12" s="473"/>
      <c r="SWZ12" s="473"/>
      <c r="SXA12" s="473"/>
      <c r="SXB12" s="473"/>
      <c r="SXC12" s="473"/>
      <c r="SXD12" s="473"/>
      <c r="SXE12" s="473"/>
      <c r="SXF12" s="473"/>
      <c r="SXG12" s="473"/>
      <c r="SXH12" s="473"/>
      <c r="SXI12" s="473"/>
      <c r="SXJ12" s="473"/>
      <c r="SXK12" s="473"/>
      <c r="SXL12" s="473"/>
      <c r="SXM12" s="473"/>
      <c r="SXN12" s="473"/>
      <c r="SXO12" s="473"/>
      <c r="SXP12" s="473"/>
      <c r="SXQ12" s="473"/>
      <c r="SXR12" s="473"/>
      <c r="SXS12" s="473"/>
      <c r="SXT12" s="473"/>
      <c r="SXU12" s="473"/>
      <c r="SXV12" s="473"/>
      <c r="SXW12" s="473"/>
      <c r="SXX12" s="473"/>
      <c r="SXY12" s="473"/>
      <c r="SXZ12" s="473"/>
      <c r="SYA12" s="473"/>
      <c r="SYB12" s="473"/>
      <c r="SYC12" s="473"/>
      <c r="SYD12" s="473"/>
      <c r="SYE12" s="473"/>
      <c r="SYF12" s="473"/>
      <c r="SYG12" s="473"/>
      <c r="SYH12" s="473"/>
      <c r="SYI12" s="473"/>
      <c r="SYJ12" s="473"/>
      <c r="SYK12" s="473"/>
      <c r="SYL12" s="473"/>
      <c r="SYM12" s="473"/>
      <c r="SYN12" s="473"/>
      <c r="SYO12" s="473"/>
      <c r="SYP12" s="473"/>
      <c r="SYQ12" s="473"/>
      <c r="SYR12" s="473"/>
      <c r="SYS12" s="473"/>
      <c r="SYT12" s="473"/>
      <c r="SYU12" s="473"/>
      <c r="SYV12" s="473"/>
      <c r="SYW12" s="473"/>
      <c r="SYX12" s="473"/>
      <c r="SYY12" s="473"/>
      <c r="SYZ12" s="473"/>
      <c r="SZA12" s="473"/>
      <c r="SZB12" s="473"/>
      <c r="SZC12" s="473"/>
      <c r="SZD12" s="473"/>
      <c r="SZE12" s="473"/>
      <c r="SZF12" s="473"/>
      <c r="SZG12" s="473"/>
      <c r="SZH12" s="473"/>
      <c r="SZI12" s="473"/>
      <c r="SZJ12" s="473"/>
      <c r="SZK12" s="473"/>
      <c r="SZL12" s="473"/>
      <c r="SZM12" s="473"/>
      <c r="SZN12" s="473"/>
      <c r="SZO12" s="473"/>
      <c r="SZP12" s="473"/>
      <c r="SZQ12" s="473"/>
      <c r="SZR12" s="473"/>
      <c r="SZS12" s="473"/>
      <c r="SZT12" s="473"/>
      <c r="SZU12" s="473"/>
      <c r="SZV12" s="473"/>
      <c r="SZW12" s="473"/>
      <c r="SZX12" s="473"/>
      <c r="SZY12" s="473"/>
      <c r="SZZ12" s="473"/>
      <c r="TAA12" s="473"/>
      <c r="TAB12" s="473"/>
      <c r="TAC12" s="473"/>
      <c r="TAD12" s="473"/>
      <c r="TAE12" s="473"/>
      <c r="TAF12" s="473"/>
      <c r="TAG12" s="473"/>
      <c r="TAH12" s="473"/>
      <c r="TAI12" s="473"/>
      <c r="TAJ12" s="473"/>
      <c r="TAK12" s="473"/>
      <c r="TAL12" s="473"/>
      <c r="TAM12" s="473"/>
      <c r="TAN12" s="473"/>
      <c r="TAO12" s="473"/>
      <c r="TAP12" s="473"/>
      <c r="TAQ12" s="473"/>
      <c r="TAR12" s="473"/>
      <c r="TAS12" s="473"/>
      <c r="TAT12" s="473"/>
      <c r="TAU12" s="473"/>
      <c r="TAV12" s="473"/>
      <c r="TAW12" s="473"/>
      <c r="TAX12" s="473"/>
      <c r="TAY12" s="473"/>
      <c r="TAZ12" s="473"/>
      <c r="TBA12" s="473"/>
      <c r="TBB12" s="473"/>
      <c r="TBC12" s="473"/>
      <c r="TBD12" s="473"/>
      <c r="TBE12" s="473"/>
      <c r="TBF12" s="473"/>
      <c r="TBG12" s="473"/>
      <c r="TBH12" s="473"/>
      <c r="TBI12" s="473"/>
      <c r="TBJ12" s="473"/>
      <c r="TBK12" s="473"/>
      <c r="TBL12" s="473"/>
      <c r="TBM12" s="473"/>
      <c r="TBN12" s="473"/>
      <c r="TBO12" s="473"/>
      <c r="TBP12" s="473"/>
      <c r="TBQ12" s="473"/>
      <c r="TBR12" s="473"/>
      <c r="TBS12" s="473"/>
      <c r="TBT12" s="473"/>
      <c r="TBU12" s="473"/>
      <c r="TBV12" s="473"/>
      <c r="TBW12" s="473"/>
      <c r="TBX12" s="473"/>
      <c r="TBY12" s="473"/>
      <c r="TBZ12" s="473"/>
      <c r="TCA12" s="473"/>
      <c r="TCB12" s="473"/>
      <c r="TCC12" s="473"/>
      <c r="TCD12" s="473"/>
      <c r="TCE12" s="473"/>
      <c r="TCF12" s="473"/>
      <c r="TCG12" s="473"/>
      <c r="TCH12" s="473"/>
      <c r="TCI12" s="473"/>
      <c r="TCJ12" s="473"/>
      <c r="TCK12" s="473"/>
      <c r="TCL12" s="473"/>
      <c r="TCM12" s="473"/>
      <c r="TCN12" s="473"/>
      <c r="TCO12" s="473"/>
      <c r="TCP12" s="473"/>
      <c r="TCQ12" s="473"/>
      <c r="TCR12" s="473"/>
      <c r="TCS12" s="473"/>
      <c r="TCT12" s="473"/>
      <c r="TCU12" s="473"/>
      <c r="TCV12" s="473"/>
      <c r="TCW12" s="473"/>
      <c r="TCX12" s="473"/>
      <c r="TCY12" s="473"/>
      <c r="TCZ12" s="473"/>
      <c r="TDA12" s="473"/>
      <c r="TDB12" s="473"/>
      <c r="TDC12" s="473"/>
      <c r="TDD12" s="473"/>
      <c r="TDE12" s="473"/>
      <c r="TDF12" s="473"/>
      <c r="TDG12" s="473"/>
      <c r="TDH12" s="473"/>
      <c r="TDI12" s="473"/>
      <c r="TDJ12" s="473"/>
      <c r="TDK12" s="473"/>
      <c r="TDL12" s="473"/>
      <c r="TDM12" s="473"/>
      <c r="TDN12" s="473"/>
      <c r="TDO12" s="473"/>
      <c r="TDP12" s="473"/>
      <c r="TDQ12" s="473"/>
      <c r="TDR12" s="473"/>
      <c r="TDS12" s="473"/>
      <c r="TDT12" s="473"/>
      <c r="TDU12" s="473"/>
      <c r="TDV12" s="473"/>
      <c r="TDW12" s="473"/>
      <c r="TDX12" s="473"/>
      <c r="TDY12" s="473"/>
      <c r="TDZ12" s="473"/>
      <c r="TEA12" s="473"/>
      <c r="TEB12" s="473"/>
      <c r="TEC12" s="473"/>
      <c r="TED12" s="473"/>
      <c r="TEE12" s="473"/>
      <c r="TEF12" s="473"/>
      <c r="TEG12" s="473"/>
      <c r="TEH12" s="473"/>
      <c r="TEI12" s="473"/>
      <c r="TEJ12" s="473"/>
      <c r="TEK12" s="473"/>
      <c r="TEL12" s="473"/>
      <c r="TEM12" s="473"/>
      <c r="TEN12" s="473"/>
      <c r="TEO12" s="473"/>
      <c r="TEP12" s="473"/>
      <c r="TEQ12" s="473"/>
      <c r="TER12" s="473"/>
      <c r="TES12" s="473"/>
      <c r="TET12" s="473"/>
      <c r="TEU12" s="473"/>
      <c r="TEV12" s="473"/>
      <c r="TEW12" s="473"/>
      <c r="TEX12" s="473"/>
      <c r="TEY12" s="473"/>
      <c r="TEZ12" s="473"/>
      <c r="TFA12" s="473"/>
      <c r="TFB12" s="473"/>
      <c r="TFC12" s="473"/>
      <c r="TFD12" s="473"/>
      <c r="TFE12" s="473"/>
      <c r="TFF12" s="473"/>
      <c r="TFG12" s="473"/>
      <c r="TFH12" s="473"/>
      <c r="TFI12" s="473"/>
      <c r="TFJ12" s="473"/>
      <c r="TFK12" s="473"/>
      <c r="TFL12" s="473"/>
      <c r="TFM12" s="473"/>
      <c r="TFN12" s="473"/>
      <c r="TFO12" s="473"/>
      <c r="TFP12" s="473"/>
      <c r="TFQ12" s="473"/>
      <c r="TFR12" s="473"/>
      <c r="TFS12" s="473"/>
      <c r="TFT12" s="473"/>
      <c r="TFU12" s="473"/>
      <c r="TFV12" s="473"/>
      <c r="TFW12" s="473"/>
      <c r="TFX12" s="473"/>
      <c r="TFY12" s="473"/>
      <c r="TFZ12" s="473"/>
      <c r="TGA12" s="473"/>
      <c r="TGB12" s="473"/>
      <c r="TGC12" s="473"/>
      <c r="TGD12" s="473"/>
      <c r="TGE12" s="473"/>
      <c r="TGF12" s="473"/>
      <c r="TGG12" s="473"/>
      <c r="TGH12" s="473"/>
      <c r="TGI12" s="473"/>
      <c r="TGJ12" s="473"/>
      <c r="TGK12" s="473"/>
      <c r="TGL12" s="473"/>
      <c r="TGM12" s="473"/>
      <c r="TGN12" s="473"/>
      <c r="TGO12" s="473"/>
      <c r="TGP12" s="473"/>
      <c r="TGQ12" s="473"/>
      <c r="TGR12" s="473"/>
      <c r="TGS12" s="473"/>
      <c r="TGT12" s="473"/>
      <c r="TGU12" s="473"/>
      <c r="TGV12" s="473"/>
      <c r="TGW12" s="473"/>
      <c r="TGX12" s="473"/>
      <c r="TGY12" s="473"/>
      <c r="TGZ12" s="473"/>
      <c r="THA12" s="473"/>
      <c r="THB12" s="473"/>
      <c r="THC12" s="473"/>
      <c r="THD12" s="473"/>
      <c r="THE12" s="473"/>
      <c r="THF12" s="473"/>
      <c r="THG12" s="473"/>
      <c r="THH12" s="473"/>
      <c r="THI12" s="473"/>
      <c r="THJ12" s="473"/>
      <c r="THK12" s="473"/>
      <c r="THL12" s="473"/>
      <c r="THM12" s="473"/>
      <c r="THN12" s="473"/>
      <c r="THO12" s="473"/>
      <c r="THP12" s="473"/>
      <c r="THQ12" s="473"/>
      <c r="THR12" s="473"/>
      <c r="THS12" s="473"/>
      <c r="THT12" s="473"/>
      <c r="THU12" s="473"/>
      <c r="THV12" s="473"/>
      <c r="THW12" s="473"/>
      <c r="THX12" s="473"/>
      <c r="THY12" s="473"/>
      <c r="THZ12" s="473"/>
      <c r="TIA12" s="473"/>
      <c r="TIB12" s="473"/>
      <c r="TIC12" s="473"/>
      <c r="TID12" s="473"/>
      <c r="TIE12" s="473"/>
      <c r="TIF12" s="473"/>
      <c r="TIG12" s="473"/>
      <c r="TIH12" s="473"/>
      <c r="TII12" s="473"/>
      <c r="TIJ12" s="473"/>
      <c r="TIK12" s="473"/>
      <c r="TIL12" s="473"/>
      <c r="TIM12" s="473"/>
      <c r="TIN12" s="473"/>
      <c r="TIO12" s="473"/>
      <c r="TIP12" s="473"/>
      <c r="TIQ12" s="473"/>
      <c r="TIR12" s="473"/>
      <c r="TIS12" s="473"/>
      <c r="TIT12" s="473"/>
      <c r="TIU12" s="473"/>
      <c r="TIV12" s="473"/>
      <c r="TIW12" s="473"/>
      <c r="TIX12" s="473"/>
      <c r="TIY12" s="473"/>
      <c r="TIZ12" s="473"/>
      <c r="TJA12" s="473"/>
      <c r="TJB12" s="473"/>
      <c r="TJC12" s="473"/>
      <c r="TJD12" s="473"/>
      <c r="TJE12" s="473"/>
      <c r="TJF12" s="473"/>
      <c r="TJG12" s="473"/>
      <c r="TJH12" s="473"/>
      <c r="TJI12" s="473"/>
      <c r="TJJ12" s="473"/>
      <c r="TJK12" s="473"/>
      <c r="TJL12" s="473"/>
      <c r="TJM12" s="473"/>
      <c r="TJN12" s="473"/>
      <c r="TJO12" s="473"/>
      <c r="TJP12" s="473"/>
      <c r="TJQ12" s="473"/>
      <c r="TJR12" s="473"/>
      <c r="TJS12" s="473"/>
      <c r="TJT12" s="473"/>
      <c r="TJU12" s="473"/>
      <c r="TJV12" s="473"/>
      <c r="TJW12" s="473"/>
      <c r="TJX12" s="473"/>
      <c r="TJY12" s="473"/>
      <c r="TJZ12" s="473"/>
      <c r="TKA12" s="473"/>
      <c r="TKB12" s="473"/>
      <c r="TKC12" s="473"/>
      <c r="TKD12" s="473"/>
      <c r="TKE12" s="473"/>
      <c r="TKF12" s="473"/>
      <c r="TKG12" s="473"/>
      <c r="TKH12" s="473"/>
      <c r="TKI12" s="473"/>
      <c r="TKJ12" s="473"/>
      <c r="TKK12" s="473"/>
      <c r="TKL12" s="473"/>
      <c r="TKM12" s="473"/>
      <c r="TKN12" s="473"/>
      <c r="TKO12" s="473"/>
      <c r="TKP12" s="473"/>
      <c r="TKQ12" s="473"/>
      <c r="TKR12" s="473"/>
      <c r="TKS12" s="473"/>
      <c r="TKT12" s="473"/>
      <c r="TKU12" s="473"/>
      <c r="TKV12" s="473"/>
      <c r="TKW12" s="473"/>
      <c r="TKX12" s="473"/>
      <c r="TKY12" s="473"/>
      <c r="TKZ12" s="473"/>
      <c r="TLA12" s="473"/>
      <c r="TLB12" s="473"/>
      <c r="TLC12" s="473"/>
      <c r="TLD12" s="473"/>
      <c r="TLE12" s="473"/>
      <c r="TLF12" s="473"/>
      <c r="TLG12" s="473"/>
      <c r="TLH12" s="473"/>
      <c r="TLI12" s="473"/>
      <c r="TLJ12" s="473"/>
      <c r="TLK12" s="473"/>
      <c r="TLL12" s="473"/>
      <c r="TLM12" s="473"/>
      <c r="TLN12" s="473"/>
      <c r="TLO12" s="473"/>
      <c r="TLP12" s="473"/>
      <c r="TLQ12" s="473"/>
      <c r="TLR12" s="473"/>
      <c r="TLS12" s="473"/>
      <c r="TLT12" s="473"/>
      <c r="TLU12" s="473"/>
      <c r="TLV12" s="473"/>
      <c r="TLW12" s="473"/>
      <c r="TLX12" s="473"/>
      <c r="TLY12" s="473"/>
      <c r="TLZ12" s="473"/>
      <c r="TMA12" s="473"/>
      <c r="TMB12" s="473"/>
      <c r="TMC12" s="473"/>
      <c r="TMD12" s="473"/>
      <c r="TME12" s="473"/>
      <c r="TMF12" s="473"/>
      <c r="TMG12" s="473"/>
      <c r="TMH12" s="473"/>
      <c r="TMI12" s="473"/>
      <c r="TMJ12" s="473"/>
      <c r="TMK12" s="473"/>
      <c r="TML12" s="473"/>
      <c r="TMM12" s="473"/>
      <c r="TMN12" s="473"/>
      <c r="TMO12" s="473"/>
      <c r="TMP12" s="473"/>
      <c r="TMQ12" s="473"/>
      <c r="TMR12" s="473"/>
      <c r="TMS12" s="473"/>
      <c r="TMT12" s="473"/>
      <c r="TMU12" s="473"/>
      <c r="TMV12" s="473"/>
      <c r="TMW12" s="473"/>
      <c r="TMX12" s="473"/>
      <c r="TMY12" s="473"/>
      <c r="TMZ12" s="473"/>
      <c r="TNA12" s="473"/>
      <c r="TNB12" s="473"/>
      <c r="TNC12" s="473"/>
      <c r="TND12" s="473"/>
      <c r="TNE12" s="473"/>
      <c r="TNF12" s="473"/>
      <c r="TNG12" s="473"/>
      <c r="TNH12" s="473"/>
      <c r="TNI12" s="473"/>
      <c r="TNJ12" s="473"/>
      <c r="TNK12" s="473"/>
      <c r="TNL12" s="473"/>
      <c r="TNM12" s="473"/>
      <c r="TNN12" s="473"/>
      <c r="TNO12" s="473"/>
      <c r="TNP12" s="473"/>
      <c r="TNQ12" s="473"/>
      <c r="TNR12" s="473"/>
      <c r="TNS12" s="473"/>
      <c r="TNT12" s="473"/>
      <c r="TNU12" s="473"/>
      <c r="TNV12" s="473"/>
      <c r="TNW12" s="473"/>
      <c r="TNX12" s="473"/>
      <c r="TNY12" s="473"/>
      <c r="TNZ12" s="473"/>
      <c r="TOA12" s="473"/>
      <c r="TOB12" s="473"/>
      <c r="TOC12" s="473"/>
      <c r="TOD12" s="473"/>
      <c r="TOE12" s="473"/>
      <c r="TOF12" s="473"/>
      <c r="TOG12" s="473"/>
      <c r="TOH12" s="473"/>
      <c r="TOI12" s="473"/>
      <c r="TOJ12" s="473"/>
      <c r="TOK12" s="473"/>
      <c r="TOL12" s="473"/>
      <c r="TOM12" s="473"/>
      <c r="TON12" s="473"/>
      <c r="TOO12" s="473"/>
      <c r="TOP12" s="473"/>
      <c r="TOQ12" s="473"/>
      <c r="TOR12" s="473"/>
      <c r="TOS12" s="473"/>
      <c r="TOT12" s="473"/>
      <c r="TOU12" s="473"/>
      <c r="TOV12" s="473"/>
      <c r="TOW12" s="473"/>
      <c r="TOX12" s="473"/>
      <c r="TOY12" s="473"/>
      <c r="TOZ12" s="473"/>
      <c r="TPA12" s="473"/>
      <c r="TPB12" s="473"/>
      <c r="TPC12" s="473"/>
      <c r="TPD12" s="473"/>
      <c r="TPE12" s="473"/>
      <c r="TPF12" s="473"/>
      <c r="TPG12" s="473"/>
      <c r="TPH12" s="473"/>
      <c r="TPI12" s="473"/>
      <c r="TPJ12" s="473"/>
      <c r="TPK12" s="473"/>
      <c r="TPL12" s="473"/>
      <c r="TPM12" s="473"/>
      <c r="TPN12" s="473"/>
      <c r="TPO12" s="473"/>
      <c r="TPP12" s="473"/>
      <c r="TPQ12" s="473"/>
      <c r="TPR12" s="473"/>
      <c r="TPS12" s="473"/>
      <c r="TPT12" s="473"/>
      <c r="TPU12" s="473"/>
      <c r="TPV12" s="473"/>
      <c r="TPW12" s="473"/>
      <c r="TPX12" s="473"/>
      <c r="TPY12" s="473"/>
      <c r="TPZ12" s="473"/>
      <c r="TQA12" s="473"/>
      <c r="TQB12" s="473"/>
      <c r="TQC12" s="473"/>
      <c r="TQD12" s="473"/>
      <c r="TQE12" s="473"/>
      <c r="TQF12" s="473"/>
      <c r="TQG12" s="473"/>
      <c r="TQH12" s="473"/>
      <c r="TQI12" s="473"/>
      <c r="TQJ12" s="473"/>
      <c r="TQK12" s="473"/>
      <c r="TQL12" s="473"/>
      <c r="TQM12" s="473"/>
      <c r="TQN12" s="473"/>
      <c r="TQO12" s="473"/>
      <c r="TQP12" s="473"/>
      <c r="TQQ12" s="473"/>
      <c r="TQR12" s="473"/>
      <c r="TQS12" s="473"/>
      <c r="TQT12" s="473"/>
      <c r="TQU12" s="473"/>
      <c r="TQV12" s="473"/>
      <c r="TQW12" s="473"/>
      <c r="TQX12" s="473"/>
      <c r="TQY12" s="473"/>
      <c r="TQZ12" s="473"/>
      <c r="TRA12" s="473"/>
      <c r="TRB12" s="473"/>
      <c r="TRC12" s="473"/>
      <c r="TRD12" s="473"/>
      <c r="TRE12" s="473"/>
      <c r="TRF12" s="473"/>
      <c r="TRG12" s="473"/>
      <c r="TRH12" s="473"/>
      <c r="TRI12" s="473"/>
      <c r="TRJ12" s="473"/>
      <c r="TRK12" s="473"/>
      <c r="TRL12" s="473"/>
      <c r="TRM12" s="473"/>
      <c r="TRN12" s="473"/>
      <c r="TRO12" s="473"/>
      <c r="TRP12" s="473"/>
      <c r="TRQ12" s="473"/>
      <c r="TRR12" s="473"/>
      <c r="TRS12" s="473"/>
      <c r="TRT12" s="473"/>
      <c r="TRU12" s="473"/>
      <c r="TRV12" s="473"/>
      <c r="TRW12" s="473"/>
      <c r="TRX12" s="473"/>
      <c r="TRY12" s="473"/>
      <c r="TRZ12" s="473"/>
      <c r="TSA12" s="473"/>
      <c r="TSB12" s="473"/>
      <c r="TSC12" s="473"/>
      <c r="TSD12" s="473"/>
      <c r="TSE12" s="473"/>
      <c r="TSF12" s="473"/>
      <c r="TSG12" s="473"/>
      <c r="TSH12" s="473"/>
      <c r="TSI12" s="473"/>
      <c r="TSJ12" s="473"/>
      <c r="TSK12" s="473"/>
      <c r="TSL12" s="473"/>
      <c r="TSM12" s="473"/>
      <c r="TSN12" s="473"/>
      <c r="TSO12" s="473"/>
      <c r="TSP12" s="473"/>
      <c r="TSQ12" s="473"/>
      <c r="TSR12" s="473"/>
      <c r="TSS12" s="473"/>
      <c r="TST12" s="473"/>
      <c r="TSU12" s="473"/>
      <c r="TSV12" s="473"/>
      <c r="TSW12" s="473"/>
      <c r="TSX12" s="473"/>
      <c r="TSY12" s="473"/>
      <c r="TSZ12" s="473"/>
      <c r="TTA12" s="473"/>
      <c r="TTB12" s="473"/>
      <c r="TTC12" s="473"/>
      <c r="TTD12" s="473"/>
      <c r="TTE12" s="473"/>
      <c r="TTF12" s="473"/>
      <c r="TTG12" s="473"/>
      <c r="TTH12" s="473"/>
      <c r="TTI12" s="473"/>
      <c r="TTJ12" s="473"/>
      <c r="TTK12" s="473"/>
      <c r="TTL12" s="473"/>
      <c r="TTM12" s="473"/>
      <c r="TTN12" s="473"/>
      <c r="TTO12" s="473"/>
      <c r="TTP12" s="473"/>
      <c r="TTQ12" s="473"/>
      <c r="TTR12" s="473"/>
      <c r="TTS12" s="473"/>
      <c r="TTT12" s="473"/>
      <c r="TTU12" s="473"/>
      <c r="TTV12" s="473"/>
      <c r="TTW12" s="473"/>
      <c r="TTX12" s="473"/>
      <c r="TTY12" s="473"/>
      <c r="TTZ12" s="473"/>
      <c r="TUA12" s="473"/>
      <c r="TUB12" s="473"/>
      <c r="TUC12" s="473"/>
      <c r="TUD12" s="473"/>
      <c r="TUE12" s="473"/>
      <c r="TUF12" s="473"/>
      <c r="TUG12" s="473"/>
      <c r="TUH12" s="473"/>
      <c r="TUI12" s="473"/>
      <c r="TUJ12" s="473"/>
      <c r="TUK12" s="473"/>
      <c r="TUL12" s="473"/>
      <c r="TUM12" s="473"/>
      <c r="TUN12" s="473"/>
      <c r="TUO12" s="473"/>
      <c r="TUP12" s="473"/>
      <c r="TUQ12" s="473"/>
      <c r="TUR12" s="473"/>
      <c r="TUS12" s="473"/>
      <c r="TUT12" s="473"/>
      <c r="TUU12" s="473"/>
      <c r="TUV12" s="473"/>
      <c r="TUW12" s="473"/>
      <c r="TUX12" s="473"/>
      <c r="TUY12" s="473"/>
      <c r="TUZ12" s="473"/>
      <c r="TVA12" s="473"/>
      <c r="TVB12" s="473"/>
      <c r="TVC12" s="473"/>
      <c r="TVD12" s="473"/>
      <c r="TVE12" s="473"/>
      <c r="TVF12" s="473"/>
      <c r="TVG12" s="473"/>
      <c r="TVH12" s="473"/>
      <c r="TVI12" s="473"/>
      <c r="TVJ12" s="473"/>
      <c r="TVK12" s="473"/>
      <c r="TVL12" s="473"/>
      <c r="TVM12" s="473"/>
      <c r="TVN12" s="473"/>
      <c r="TVO12" s="473"/>
      <c r="TVP12" s="473"/>
      <c r="TVQ12" s="473"/>
      <c r="TVR12" s="473"/>
      <c r="TVS12" s="473"/>
      <c r="TVT12" s="473"/>
      <c r="TVU12" s="473"/>
      <c r="TVV12" s="473"/>
      <c r="TVW12" s="473"/>
      <c r="TVX12" s="473"/>
      <c r="TVY12" s="473"/>
      <c r="TVZ12" s="473"/>
      <c r="TWA12" s="473"/>
      <c r="TWB12" s="473"/>
      <c r="TWC12" s="473"/>
      <c r="TWD12" s="473"/>
      <c r="TWE12" s="473"/>
      <c r="TWF12" s="473"/>
      <c r="TWG12" s="473"/>
      <c r="TWH12" s="473"/>
      <c r="TWI12" s="473"/>
      <c r="TWJ12" s="473"/>
      <c r="TWK12" s="473"/>
      <c r="TWL12" s="473"/>
      <c r="TWM12" s="473"/>
      <c r="TWN12" s="473"/>
      <c r="TWO12" s="473"/>
      <c r="TWP12" s="473"/>
      <c r="TWQ12" s="473"/>
      <c r="TWR12" s="473"/>
      <c r="TWS12" s="473"/>
      <c r="TWT12" s="473"/>
      <c r="TWU12" s="473"/>
      <c r="TWV12" s="473"/>
      <c r="TWW12" s="473"/>
      <c r="TWX12" s="473"/>
      <c r="TWY12" s="473"/>
      <c r="TWZ12" s="473"/>
      <c r="TXA12" s="473"/>
      <c r="TXB12" s="473"/>
      <c r="TXC12" s="473"/>
      <c r="TXD12" s="473"/>
      <c r="TXE12" s="473"/>
      <c r="TXF12" s="473"/>
      <c r="TXG12" s="473"/>
      <c r="TXH12" s="473"/>
      <c r="TXI12" s="473"/>
      <c r="TXJ12" s="473"/>
      <c r="TXK12" s="473"/>
      <c r="TXL12" s="473"/>
      <c r="TXM12" s="473"/>
      <c r="TXN12" s="473"/>
      <c r="TXO12" s="473"/>
      <c r="TXP12" s="473"/>
      <c r="TXQ12" s="473"/>
      <c r="TXR12" s="473"/>
      <c r="TXS12" s="473"/>
      <c r="TXT12" s="473"/>
      <c r="TXU12" s="473"/>
      <c r="TXV12" s="473"/>
      <c r="TXW12" s="473"/>
      <c r="TXX12" s="473"/>
      <c r="TXY12" s="473"/>
      <c r="TXZ12" s="473"/>
      <c r="TYA12" s="473"/>
      <c r="TYB12" s="473"/>
      <c r="TYC12" s="473"/>
      <c r="TYD12" s="473"/>
      <c r="TYE12" s="473"/>
      <c r="TYF12" s="473"/>
      <c r="TYG12" s="473"/>
      <c r="TYH12" s="473"/>
      <c r="TYI12" s="473"/>
      <c r="TYJ12" s="473"/>
      <c r="TYK12" s="473"/>
      <c r="TYL12" s="473"/>
      <c r="TYM12" s="473"/>
      <c r="TYN12" s="473"/>
      <c r="TYO12" s="473"/>
      <c r="TYP12" s="473"/>
      <c r="TYQ12" s="473"/>
      <c r="TYR12" s="473"/>
      <c r="TYS12" s="473"/>
      <c r="TYT12" s="473"/>
      <c r="TYU12" s="473"/>
      <c r="TYV12" s="473"/>
      <c r="TYW12" s="473"/>
      <c r="TYX12" s="473"/>
      <c r="TYY12" s="473"/>
      <c r="TYZ12" s="473"/>
      <c r="TZA12" s="473"/>
      <c r="TZB12" s="473"/>
      <c r="TZC12" s="473"/>
      <c r="TZD12" s="473"/>
      <c r="TZE12" s="473"/>
      <c r="TZF12" s="473"/>
      <c r="TZG12" s="473"/>
      <c r="TZH12" s="473"/>
      <c r="TZI12" s="473"/>
      <c r="TZJ12" s="473"/>
      <c r="TZK12" s="473"/>
      <c r="TZL12" s="473"/>
      <c r="TZM12" s="473"/>
      <c r="TZN12" s="473"/>
      <c r="TZO12" s="473"/>
      <c r="TZP12" s="473"/>
      <c r="TZQ12" s="473"/>
      <c r="TZR12" s="473"/>
      <c r="TZS12" s="473"/>
      <c r="TZT12" s="473"/>
      <c r="TZU12" s="473"/>
      <c r="TZV12" s="473"/>
      <c r="TZW12" s="473"/>
      <c r="TZX12" s="473"/>
      <c r="TZY12" s="473"/>
      <c r="TZZ12" s="473"/>
      <c r="UAA12" s="473"/>
      <c r="UAB12" s="473"/>
      <c r="UAC12" s="473"/>
      <c r="UAD12" s="473"/>
      <c r="UAE12" s="473"/>
      <c r="UAF12" s="473"/>
      <c r="UAG12" s="473"/>
      <c r="UAH12" s="473"/>
      <c r="UAI12" s="473"/>
      <c r="UAJ12" s="473"/>
      <c r="UAK12" s="473"/>
      <c r="UAL12" s="473"/>
      <c r="UAM12" s="473"/>
      <c r="UAN12" s="473"/>
      <c r="UAO12" s="473"/>
      <c r="UAP12" s="473"/>
      <c r="UAQ12" s="473"/>
      <c r="UAR12" s="473"/>
      <c r="UAS12" s="473"/>
      <c r="UAT12" s="473"/>
      <c r="UAU12" s="473"/>
      <c r="UAV12" s="473"/>
      <c r="UAW12" s="473"/>
      <c r="UAX12" s="473"/>
      <c r="UAY12" s="473"/>
      <c r="UAZ12" s="473"/>
      <c r="UBA12" s="473"/>
      <c r="UBB12" s="473"/>
      <c r="UBC12" s="473"/>
      <c r="UBD12" s="473"/>
      <c r="UBE12" s="473"/>
      <c r="UBF12" s="473"/>
      <c r="UBG12" s="473"/>
      <c r="UBH12" s="473"/>
      <c r="UBI12" s="473"/>
      <c r="UBJ12" s="473"/>
      <c r="UBK12" s="473"/>
      <c r="UBL12" s="473"/>
      <c r="UBM12" s="473"/>
      <c r="UBN12" s="473"/>
      <c r="UBO12" s="473"/>
      <c r="UBP12" s="473"/>
      <c r="UBQ12" s="473"/>
      <c r="UBR12" s="473"/>
      <c r="UBS12" s="473"/>
      <c r="UBT12" s="473"/>
      <c r="UBU12" s="473"/>
      <c r="UBV12" s="473"/>
      <c r="UBW12" s="473"/>
      <c r="UBX12" s="473"/>
      <c r="UBY12" s="473"/>
      <c r="UBZ12" s="473"/>
      <c r="UCA12" s="473"/>
      <c r="UCB12" s="473"/>
      <c r="UCC12" s="473"/>
      <c r="UCD12" s="473"/>
      <c r="UCE12" s="473"/>
      <c r="UCF12" s="473"/>
      <c r="UCG12" s="473"/>
      <c r="UCH12" s="473"/>
      <c r="UCI12" s="473"/>
      <c r="UCJ12" s="473"/>
      <c r="UCK12" s="473"/>
      <c r="UCL12" s="473"/>
      <c r="UCM12" s="473"/>
      <c r="UCN12" s="473"/>
      <c r="UCO12" s="473"/>
      <c r="UCP12" s="473"/>
      <c r="UCQ12" s="473"/>
      <c r="UCR12" s="473"/>
      <c r="UCS12" s="473"/>
      <c r="UCT12" s="473"/>
      <c r="UCU12" s="473"/>
      <c r="UCV12" s="473"/>
      <c r="UCW12" s="473"/>
      <c r="UCX12" s="473"/>
      <c r="UCY12" s="473"/>
      <c r="UCZ12" s="473"/>
      <c r="UDA12" s="473"/>
      <c r="UDB12" s="473"/>
      <c r="UDC12" s="473"/>
      <c r="UDD12" s="473"/>
      <c r="UDE12" s="473"/>
      <c r="UDF12" s="473"/>
      <c r="UDG12" s="473"/>
      <c r="UDH12" s="473"/>
      <c r="UDI12" s="473"/>
      <c r="UDJ12" s="473"/>
      <c r="UDK12" s="473"/>
      <c r="UDL12" s="473"/>
      <c r="UDM12" s="473"/>
      <c r="UDN12" s="473"/>
      <c r="UDO12" s="473"/>
      <c r="UDP12" s="473"/>
      <c r="UDQ12" s="473"/>
      <c r="UDR12" s="473"/>
      <c r="UDS12" s="473"/>
      <c r="UDT12" s="473"/>
      <c r="UDU12" s="473"/>
      <c r="UDV12" s="473"/>
      <c r="UDW12" s="473"/>
      <c r="UDX12" s="473"/>
      <c r="UDY12" s="473"/>
      <c r="UDZ12" s="473"/>
      <c r="UEA12" s="473"/>
      <c r="UEB12" s="473"/>
      <c r="UEC12" s="473"/>
      <c r="UED12" s="473"/>
      <c r="UEE12" s="473"/>
      <c r="UEF12" s="473"/>
      <c r="UEG12" s="473"/>
      <c r="UEH12" s="473"/>
      <c r="UEI12" s="473"/>
      <c r="UEJ12" s="473"/>
      <c r="UEK12" s="473"/>
      <c r="UEL12" s="473"/>
      <c r="UEM12" s="473"/>
      <c r="UEN12" s="473"/>
      <c r="UEO12" s="473"/>
      <c r="UEP12" s="473"/>
      <c r="UEQ12" s="473"/>
      <c r="UER12" s="473"/>
      <c r="UES12" s="473"/>
      <c r="UET12" s="473"/>
      <c r="UEU12" s="473"/>
      <c r="UEV12" s="473"/>
      <c r="UEW12" s="473"/>
      <c r="UEX12" s="473"/>
      <c r="UEY12" s="473"/>
      <c r="UEZ12" s="473"/>
      <c r="UFA12" s="473"/>
      <c r="UFB12" s="473"/>
      <c r="UFC12" s="473"/>
      <c r="UFD12" s="473"/>
      <c r="UFE12" s="473"/>
      <c r="UFF12" s="473"/>
      <c r="UFG12" s="473"/>
      <c r="UFH12" s="473"/>
      <c r="UFI12" s="473"/>
      <c r="UFJ12" s="473"/>
      <c r="UFK12" s="473"/>
      <c r="UFL12" s="473"/>
      <c r="UFM12" s="473"/>
      <c r="UFN12" s="473"/>
      <c r="UFO12" s="473"/>
      <c r="UFP12" s="473"/>
      <c r="UFQ12" s="473"/>
      <c r="UFR12" s="473"/>
      <c r="UFS12" s="473"/>
      <c r="UFT12" s="473"/>
      <c r="UFU12" s="473"/>
      <c r="UFV12" s="473"/>
      <c r="UFW12" s="473"/>
      <c r="UFX12" s="473"/>
      <c r="UFY12" s="473"/>
      <c r="UFZ12" s="473"/>
      <c r="UGA12" s="473"/>
      <c r="UGB12" s="473"/>
      <c r="UGC12" s="473"/>
      <c r="UGD12" s="473"/>
      <c r="UGE12" s="473"/>
      <c r="UGF12" s="473"/>
      <c r="UGG12" s="473"/>
      <c r="UGH12" s="473"/>
      <c r="UGI12" s="473"/>
      <c r="UGJ12" s="473"/>
      <c r="UGK12" s="473"/>
      <c r="UGL12" s="473"/>
      <c r="UGM12" s="473"/>
      <c r="UGN12" s="473"/>
      <c r="UGO12" s="473"/>
      <c r="UGP12" s="473"/>
      <c r="UGQ12" s="473"/>
      <c r="UGR12" s="473"/>
      <c r="UGS12" s="473"/>
      <c r="UGT12" s="473"/>
      <c r="UGU12" s="473"/>
      <c r="UGV12" s="473"/>
      <c r="UGW12" s="473"/>
      <c r="UGX12" s="473"/>
      <c r="UGY12" s="473"/>
      <c r="UGZ12" s="473"/>
      <c r="UHA12" s="473"/>
      <c r="UHB12" s="473"/>
      <c r="UHC12" s="473"/>
      <c r="UHD12" s="473"/>
      <c r="UHE12" s="473"/>
      <c r="UHF12" s="473"/>
      <c r="UHG12" s="473"/>
      <c r="UHH12" s="473"/>
      <c r="UHI12" s="473"/>
      <c r="UHJ12" s="473"/>
      <c r="UHK12" s="473"/>
      <c r="UHL12" s="473"/>
      <c r="UHM12" s="473"/>
      <c r="UHN12" s="473"/>
      <c r="UHO12" s="473"/>
      <c r="UHP12" s="473"/>
      <c r="UHQ12" s="473"/>
      <c r="UHR12" s="473"/>
      <c r="UHS12" s="473"/>
      <c r="UHT12" s="473"/>
      <c r="UHU12" s="473"/>
      <c r="UHV12" s="473"/>
      <c r="UHW12" s="473"/>
      <c r="UHX12" s="473"/>
      <c r="UHY12" s="473"/>
      <c r="UHZ12" s="473"/>
      <c r="UIA12" s="473"/>
      <c r="UIB12" s="473"/>
      <c r="UIC12" s="473"/>
      <c r="UID12" s="473"/>
      <c r="UIE12" s="473"/>
      <c r="UIF12" s="473"/>
      <c r="UIG12" s="473"/>
      <c r="UIH12" s="473"/>
      <c r="UII12" s="473"/>
      <c r="UIJ12" s="473"/>
      <c r="UIK12" s="473"/>
      <c r="UIL12" s="473"/>
      <c r="UIM12" s="473"/>
      <c r="UIN12" s="473"/>
      <c r="UIO12" s="473"/>
      <c r="UIP12" s="473"/>
      <c r="UIQ12" s="473"/>
      <c r="UIR12" s="473"/>
      <c r="UIS12" s="473"/>
      <c r="UIT12" s="473"/>
      <c r="UIU12" s="473"/>
      <c r="UIV12" s="473"/>
      <c r="UIW12" s="473"/>
      <c r="UIX12" s="473"/>
      <c r="UIY12" s="473"/>
      <c r="UIZ12" s="473"/>
      <c r="UJA12" s="473"/>
      <c r="UJB12" s="473"/>
      <c r="UJC12" s="473"/>
      <c r="UJD12" s="473"/>
      <c r="UJE12" s="473"/>
      <c r="UJF12" s="473"/>
      <c r="UJG12" s="473"/>
      <c r="UJH12" s="473"/>
      <c r="UJI12" s="473"/>
      <c r="UJJ12" s="473"/>
      <c r="UJK12" s="473"/>
      <c r="UJL12" s="473"/>
      <c r="UJM12" s="473"/>
      <c r="UJN12" s="473"/>
      <c r="UJO12" s="473"/>
      <c r="UJP12" s="473"/>
      <c r="UJQ12" s="473"/>
      <c r="UJR12" s="473"/>
      <c r="UJS12" s="473"/>
      <c r="UJT12" s="473"/>
      <c r="UJU12" s="473"/>
      <c r="UJV12" s="473"/>
      <c r="UJW12" s="473"/>
      <c r="UJX12" s="473"/>
      <c r="UJY12" s="473"/>
      <c r="UJZ12" s="473"/>
      <c r="UKA12" s="473"/>
      <c r="UKB12" s="473"/>
      <c r="UKC12" s="473"/>
      <c r="UKD12" s="473"/>
      <c r="UKE12" s="473"/>
      <c r="UKF12" s="473"/>
      <c r="UKG12" s="473"/>
      <c r="UKH12" s="473"/>
      <c r="UKI12" s="473"/>
      <c r="UKJ12" s="473"/>
      <c r="UKK12" s="473"/>
      <c r="UKL12" s="473"/>
      <c r="UKM12" s="473"/>
      <c r="UKN12" s="473"/>
      <c r="UKO12" s="473"/>
      <c r="UKP12" s="473"/>
      <c r="UKQ12" s="473"/>
      <c r="UKR12" s="473"/>
      <c r="UKS12" s="473"/>
      <c r="UKT12" s="473"/>
      <c r="UKU12" s="473"/>
      <c r="UKV12" s="473"/>
      <c r="UKW12" s="473"/>
      <c r="UKX12" s="473"/>
      <c r="UKY12" s="473"/>
      <c r="UKZ12" s="473"/>
      <c r="ULA12" s="473"/>
      <c r="ULB12" s="473"/>
      <c r="ULC12" s="473"/>
      <c r="ULD12" s="473"/>
      <c r="ULE12" s="473"/>
      <c r="ULF12" s="473"/>
      <c r="ULG12" s="473"/>
      <c r="ULH12" s="473"/>
      <c r="ULI12" s="473"/>
      <c r="ULJ12" s="473"/>
      <c r="ULK12" s="473"/>
      <c r="ULL12" s="473"/>
      <c r="ULM12" s="473"/>
      <c r="ULN12" s="473"/>
      <c r="ULO12" s="473"/>
      <c r="ULP12" s="473"/>
      <c r="ULQ12" s="473"/>
      <c r="ULR12" s="473"/>
      <c r="ULS12" s="473"/>
      <c r="ULT12" s="473"/>
      <c r="ULU12" s="473"/>
      <c r="ULV12" s="473"/>
      <c r="ULW12" s="473"/>
      <c r="ULX12" s="473"/>
      <c r="ULY12" s="473"/>
      <c r="ULZ12" s="473"/>
      <c r="UMA12" s="473"/>
      <c r="UMB12" s="473"/>
      <c r="UMC12" s="473"/>
      <c r="UMD12" s="473"/>
      <c r="UME12" s="473"/>
      <c r="UMF12" s="473"/>
      <c r="UMG12" s="473"/>
      <c r="UMH12" s="473"/>
      <c r="UMI12" s="473"/>
      <c r="UMJ12" s="473"/>
      <c r="UMK12" s="473"/>
      <c r="UML12" s="473"/>
      <c r="UMM12" s="473"/>
      <c r="UMN12" s="473"/>
      <c r="UMO12" s="473"/>
      <c r="UMP12" s="473"/>
      <c r="UMQ12" s="473"/>
      <c r="UMR12" s="473"/>
      <c r="UMS12" s="473"/>
      <c r="UMT12" s="473"/>
      <c r="UMU12" s="473"/>
      <c r="UMV12" s="473"/>
      <c r="UMW12" s="473"/>
      <c r="UMX12" s="473"/>
      <c r="UMY12" s="473"/>
      <c r="UMZ12" s="473"/>
      <c r="UNA12" s="473"/>
      <c r="UNB12" s="473"/>
      <c r="UNC12" s="473"/>
      <c r="UND12" s="473"/>
      <c r="UNE12" s="473"/>
      <c r="UNF12" s="473"/>
      <c r="UNG12" s="473"/>
      <c r="UNH12" s="473"/>
      <c r="UNI12" s="473"/>
      <c r="UNJ12" s="473"/>
      <c r="UNK12" s="473"/>
      <c r="UNL12" s="473"/>
      <c r="UNM12" s="473"/>
      <c r="UNN12" s="473"/>
      <c r="UNO12" s="473"/>
      <c r="UNP12" s="473"/>
      <c r="UNQ12" s="473"/>
      <c r="UNR12" s="473"/>
      <c r="UNS12" s="473"/>
      <c r="UNT12" s="473"/>
      <c r="UNU12" s="473"/>
      <c r="UNV12" s="473"/>
      <c r="UNW12" s="473"/>
      <c r="UNX12" s="473"/>
      <c r="UNY12" s="473"/>
      <c r="UNZ12" s="473"/>
      <c r="UOA12" s="473"/>
      <c r="UOB12" s="473"/>
      <c r="UOC12" s="473"/>
      <c r="UOD12" s="473"/>
      <c r="UOE12" s="473"/>
      <c r="UOF12" s="473"/>
      <c r="UOG12" s="473"/>
      <c r="UOH12" s="473"/>
      <c r="UOI12" s="473"/>
      <c r="UOJ12" s="473"/>
      <c r="UOK12" s="473"/>
      <c r="UOL12" s="473"/>
      <c r="UOM12" s="473"/>
      <c r="UON12" s="473"/>
      <c r="UOO12" s="473"/>
      <c r="UOP12" s="473"/>
      <c r="UOQ12" s="473"/>
      <c r="UOR12" s="473"/>
      <c r="UOS12" s="473"/>
      <c r="UOT12" s="473"/>
      <c r="UOU12" s="473"/>
      <c r="UOV12" s="473"/>
      <c r="UOW12" s="473"/>
      <c r="UOX12" s="473"/>
      <c r="UOY12" s="473"/>
      <c r="UOZ12" s="473"/>
      <c r="UPA12" s="473"/>
      <c r="UPB12" s="473"/>
      <c r="UPC12" s="473"/>
      <c r="UPD12" s="473"/>
      <c r="UPE12" s="473"/>
      <c r="UPF12" s="473"/>
      <c r="UPG12" s="473"/>
      <c r="UPH12" s="473"/>
      <c r="UPI12" s="473"/>
      <c r="UPJ12" s="473"/>
      <c r="UPK12" s="473"/>
      <c r="UPL12" s="473"/>
      <c r="UPM12" s="473"/>
      <c r="UPN12" s="473"/>
      <c r="UPO12" s="473"/>
      <c r="UPP12" s="473"/>
      <c r="UPQ12" s="473"/>
      <c r="UPR12" s="473"/>
      <c r="UPS12" s="473"/>
      <c r="UPT12" s="473"/>
      <c r="UPU12" s="473"/>
      <c r="UPV12" s="473"/>
      <c r="UPW12" s="473"/>
      <c r="UPX12" s="473"/>
      <c r="UPY12" s="473"/>
      <c r="UPZ12" s="473"/>
      <c r="UQA12" s="473"/>
      <c r="UQB12" s="473"/>
      <c r="UQC12" s="473"/>
      <c r="UQD12" s="473"/>
      <c r="UQE12" s="473"/>
      <c r="UQF12" s="473"/>
      <c r="UQG12" s="473"/>
      <c r="UQH12" s="473"/>
      <c r="UQI12" s="473"/>
      <c r="UQJ12" s="473"/>
      <c r="UQK12" s="473"/>
      <c r="UQL12" s="473"/>
      <c r="UQM12" s="473"/>
      <c r="UQN12" s="473"/>
      <c r="UQO12" s="473"/>
      <c r="UQP12" s="473"/>
      <c r="UQQ12" s="473"/>
      <c r="UQR12" s="473"/>
      <c r="UQS12" s="473"/>
      <c r="UQT12" s="473"/>
      <c r="UQU12" s="473"/>
      <c r="UQV12" s="473"/>
      <c r="UQW12" s="473"/>
      <c r="UQX12" s="473"/>
      <c r="UQY12" s="473"/>
      <c r="UQZ12" s="473"/>
      <c r="URA12" s="473"/>
      <c r="URB12" s="473"/>
      <c r="URC12" s="473"/>
      <c r="URD12" s="473"/>
      <c r="URE12" s="473"/>
      <c r="URF12" s="473"/>
      <c r="URG12" s="473"/>
      <c r="URH12" s="473"/>
      <c r="URI12" s="473"/>
      <c r="URJ12" s="473"/>
      <c r="URK12" s="473"/>
      <c r="URL12" s="473"/>
      <c r="URM12" s="473"/>
      <c r="URN12" s="473"/>
      <c r="URO12" s="473"/>
      <c r="URP12" s="473"/>
      <c r="URQ12" s="473"/>
      <c r="URR12" s="473"/>
      <c r="URS12" s="473"/>
      <c r="URT12" s="473"/>
      <c r="URU12" s="473"/>
      <c r="URV12" s="473"/>
      <c r="URW12" s="473"/>
      <c r="URX12" s="473"/>
      <c r="URY12" s="473"/>
      <c r="URZ12" s="473"/>
      <c r="USA12" s="473"/>
      <c r="USB12" s="473"/>
      <c r="USC12" s="473"/>
      <c r="USD12" s="473"/>
      <c r="USE12" s="473"/>
      <c r="USF12" s="473"/>
      <c r="USG12" s="473"/>
      <c r="USH12" s="473"/>
      <c r="USI12" s="473"/>
      <c r="USJ12" s="473"/>
      <c r="USK12" s="473"/>
      <c r="USL12" s="473"/>
      <c r="USM12" s="473"/>
      <c r="USN12" s="473"/>
      <c r="USO12" s="473"/>
      <c r="USP12" s="473"/>
      <c r="USQ12" s="473"/>
      <c r="USR12" s="473"/>
      <c r="USS12" s="473"/>
      <c r="UST12" s="473"/>
      <c r="USU12" s="473"/>
      <c r="USV12" s="473"/>
      <c r="USW12" s="473"/>
      <c r="USX12" s="473"/>
      <c r="USY12" s="473"/>
      <c r="USZ12" s="473"/>
      <c r="UTA12" s="473"/>
      <c r="UTB12" s="473"/>
      <c r="UTC12" s="473"/>
      <c r="UTD12" s="473"/>
      <c r="UTE12" s="473"/>
      <c r="UTF12" s="473"/>
      <c r="UTG12" s="473"/>
      <c r="UTH12" s="473"/>
      <c r="UTI12" s="473"/>
      <c r="UTJ12" s="473"/>
      <c r="UTK12" s="473"/>
      <c r="UTL12" s="473"/>
      <c r="UTM12" s="473"/>
      <c r="UTN12" s="473"/>
      <c r="UTO12" s="473"/>
      <c r="UTP12" s="473"/>
      <c r="UTQ12" s="473"/>
      <c r="UTR12" s="473"/>
      <c r="UTS12" s="473"/>
      <c r="UTT12" s="473"/>
      <c r="UTU12" s="473"/>
      <c r="UTV12" s="473"/>
      <c r="UTW12" s="473"/>
      <c r="UTX12" s="473"/>
      <c r="UTY12" s="473"/>
      <c r="UTZ12" s="473"/>
      <c r="UUA12" s="473"/>
      <c r="UUB12" s="473"/>
      <c r="UUC12" s="473"/>
      <c r="UUD12" s="473"/>
      <c r="UUE12" s="473"/>
      <c r="UUF12" s="473"/>
      <c r="UUG12" s="473"/>
      <c r="UUH12" s="473"/>
      <c r="UUI12" s="473"/>
      <c r="UUJ12" s="473"/>
      <c r="UUK12" s="473"/>
      <c r="UUL12" s="473"/>
      <c r="UUM12" s="473"/>
      <c r="UUN12" s="473"/>
      <c r="UUO12" s="473"/>
      <c r="UUP12" s="473"/>
      <c r="UUQ12" s="473"/>
      <c r="UUR12" s="473"/>
      <c r="UUS12" s="473"/>
      <c r="UUT12" s="473"/>
      <c r="UUU12" s="473"/>
      <c r="UUV12" s="473"/>
      <c r="UUW12" s="473"/>
      <c r="UUX12" s="473"/>
      <c r="UUY12" s="473"/>
      <c r="UUZ12" s="473"/>
      <c r="UVA12" s="473"/>
      <c r="UVB12" s="473"/>
      <c r="UVC12" s="473"/>
      <c r="UVD12" s="473"/>
      <c r="UVE12" s="473"/>
      <c r="UVF12" s="473"/>
      <c r="UVG12" s="473"/>
      <c r="UVH12" s="473"/>
      <c r="UVI12" s="473"/>
      <c r="UVJ12" s="473"/>
      <c r="UVK12" s="473"/>
      <c r="UVL12" s="473"/>
      <c r="UVM12" s="473"/>
      <c r="UVN12" s="473"/>
      <c r="UVO12" s="473"/>
      <c r="UVP12" s="473"/>
      <c r="UVQ12" s="473"/>
      <c r="UVR12" s="473"/>
      <c r="UVS12" s="473"/>
      <c r="UVT12" s="473"/>
      <c r="UVU12" s="473"/>
      <c r="UVV12" s="473"/>
      <c r="UVW12" s="473"/>
      <c r="UVX12" s="473"/>
      <c r="UVY12" s="473"/>
      <c r="UVZ12" s="473"/>
      <c r="UWA12" s="473"/>
      <c r="UWB12" s="473"/>
      <c r="UWC12" s="473"/>
      <c r="UWD12" s="473"/>
      <c r="UWE12" s="473"/>
      <c r="UWF12" s="473"/>
      <c r="UWG12" s="473"/>
      <c r="UWH12" s="473"/>
      <c r="UWI12" s="473"/>
      <c r="UWJ12" s="473"/>
      <c r="UWK12" s="473"/>
      <c r="UWL12" s="473"/>
      <c r="UWM12" s="473"/>
      <c r="UWN12" s="473"/>
      <c r="UWO12" s="473"/>
      <c r="UWP12" s="473"/>
      <c r="UWQ12" s="473"/>
      <c r="UWR12" s="473"/>
      <c r="UWS12" s="473"/>
      <c r="UWT12" s="473"/>
      <c r="UWU12" s="473"/>
      <c r="UWV12" s="473"/>
      <c r="UWW12" s="473"/>
      <c r="UWX12" s="473"/>
      <c r="UWY12" s="473"/>
      <c r="UWZ12" s="473"/>
      <c r="UXA12" s="473"/>
      <c r="UXB12" s="473"/>
      <c r="UXC12" s="473"/>
      <c r="UXD12" s="473"/>
      <c r="UXE12" s="473"/>
      <c r="UXF12" s="473"/>
      <c r="UXG12" s="473"/>
      <c r="UXH12" s="473"/>
      <c r="UXI12" s="473"/>
      <c r="UXJ12" s="473"/>
      <c r="UXK12" s="473"/>
      <c r="UXL12" s="473"/>
      <c r="UXM12" s="473"/>
      <c r="UXN12" s="473"/>
      <c r="UXO12" s="473"/>
      <c r="UXP12" s="473"/>
      <c r="UXQ12" s="473"/>
      <c r="UXR12" s="473"/>
      <c r="UXS12" s="473"/>
      <c r="UXT12" s="473"/>
      <c r="UXU12" s="473"/>
      <c r="UXV12" s="473"/>
      <c r="UXW12" s="473"/>
      <c r="UXX12" s="473"/>
      <c r="UXY12" s="473"/>
      <c r="UXZ12" s="473"/>
      <c r="UYA12" s="473"/>
      <c r="UYB12" s="473"/>
      <c r="UYC12" s="473"/>
      <c r="UYD12" s="473"/>
      <c r="UYE12" s="473"/>
      <c r="UYF12" s="473"/>
      <c r="UYG12" s="473"/>
      <c r="UYH12" s="473"/>
      <c r="UYI12" s="473"/>
      <c r="UYJ12" s="473"/>
      <c r="UYK12" s="473"/>
      <c r="UYL12" s="473"/>
      <c r="UYM12" s="473"/>
      <c r="UYN12" s="473"/>
      <c r="UYO12" s="473"/>
      <c r="UYP12" s="473"/>
      <c r="UYQ12" s="473"/>
      <c r="UYR12" s="473"/>
      <c r="UYS12" s="473"/>
      <c r="UYT12" s="473"/>
      <c r="UYU12" s="473"/>
      <c r="UYV12" s="473"/>
      <c r="UYW12" s="473"/>
      <c r="UYX12" s="473"/>
      <c r="UYY12" s="473"/>
      <c r="UYZ12" s="473"/>
      <c r="UZA12" s="473"/>
      <c r="UZB12" s="473"/>
      <c r="UZC12" s="473"/>
      <c r="UZD12" s="473"/>
      <c r="UZE12" s="473"/>
      <c r="UZF12" s="473"/>
      <c r="UZG12" s="473"/>
      <c r="UZH12" s="473"/>
      <c r="UZI12" s="473"/>
      <c r="UZJ12" s="473"/>
      <c r="UZK12" s="473"/>
      <c r="UZL12" s="473"/>
      <c r="UZM12" s="473"/>
      <c r="UZN12" s="473"/>
      <c r="UZO12" s="473"/>
      <c r="UZP12" s="473"/>
      <c r="UZQ12" s="473"/>
      <c r="UZR12" s="473"/>
      <c r="UZS12" s="473"/>
      <c r="UZT12" s="473"/>
      <c r="UZU12" s="473"/>
      <c r="UZV12" s="473"/>
      <c r="UZW12" s="473"/>
      <c r="UZX12" s="473"/>
      <c r="UZY12" s="473"/>
      <c r="UZZ12" s="473"/>
      <c r="VAA12" s="473"/>
      <c r="VAB12" s="473"/>
      <c r="VAC12" s="473"/>
      <c r="VAD12" s="473"/>
      <c r="VAE12" s="473"/>
      <c r="VAF12" s="473"/>
      <c r="VAG12" s="473"/>
      <c r="VAH12" s="473"/>
      <c r="VAI12" s="473"/>
      <c r="VAJ12" s="473"/>
      <c r="VAK12" s="473"/>
      <c r="VAL12" s="473"/>
      <c r="VAM12" s="473"/>
      <c r="VAN12" s="473"/>
      <c r="VAO12" s="473"/>
      <c r="VAP12" s="473"/>
      <c r="VAQ12" s="473"/>
      <c r="VAR12" s="473"/>
      <c r="VAS12" s="473"/>
      <c r="VAT12" s="473"/>
      <c r="VAU12" s="473"/>
      <c r="VAV12" s="473"/>
      <c r="VAW12" s="473"/>
      <c r="VAX12" s="473"/>
      <c r="VAY12" s="473"/>
      <c r="VAZ12" s="473"/>
      <c r="VBA12" s="473"/>
      <c r="VBB12" s="473"/>
      <c r="VBC12" s="473"/>
      <c r="VBD12" s="473"/>
      <c r="VBE12" s="473"/>
      <c r="VBF12" s="473"/>
      <c r="VBG12" s="473"/>
      <c r="VBH12" s="473"/>
      <c r="VBI12" s="473"/>
      <c r="VBJ12" s="473"/>
      <c r="VBK12" s="473"/>
      <c r="VBL12" s="473"/>
      <c r="VBM12" s="473"/>
      <c r="VBN12" s="473"/>
      <c r="VBO12" s="473"/>
      <c r="VBP12" s="473"/>
      <c r="VBQ12" s="473"/>
      <c r="VBR12" s="473"/>
      <c r="VBS12" s="473"/>
      <c r="VBT12" s="473"/>
      <c r="VBU12" s="473"/>
      <c r="VBV12" s="473"/>
      <c r="VBW12" s="473"/>
      <c r="VBX12" s="473"/>
      <c r="VBY12" s="473"/>
      <c r="VBZ12" s="473"/>
      <c r="VCA12" s="473"/>
      <c r="VCB12" s="473"/>
      <c r="VCC12" s="473"/>
      <c r="VCD12" s="473"/>
      <c r="VCE12" s="473"/>
      <c r="VCF12" s="473"/>
      <c r="VCG12" s="473"/>
      <c r="VCH12" s="473"/>
      <c r="VCI12" s="473"/>
      <c r="VCJ12" s="473"/>
      <c r="VCK12" s="473"/>
      <c r="VCL12" s="473"/>
      <c r="VCM12" s="473"/>
      <c r="VCN12" s="473"/>
      <c r="VCO12" s="473"/>
      <c r="VCP12" s="473"/>
      <c r="VCQ12" s="473"/>
      <c r="VCR12" s="473"/>
      <c r="VCS12" s="473"/>
      <c r="VCT12" s="473"/>
      <c r="VCU12" s="473"/>
      <c r="VCV12" s="473"/>
      <c r="VCW12" s="473"/>
      <c r="VCX12" s="473"/>
      <c r="VCY12" s="473"/>
      <c r="VCZ12" s="473"/>
      <c r="VDA12" s="473"/>
      <c r="VDB12" s="473"/>
      <c r="VDC12" s="473"/>
      <c r="VDD12" s="473"/>
      <c r="VDE12" s="473"/>
      <c r="VDF12" s="473"/>
      <c r="VDG12" s="473"/>
      <c r="VDH12" s="473"/>
      <c r="VDI12" s="473"/>
      <c r="VDJ12" s="473"/>
      <c r="VDK12" s="473"/>
      <c r="VDL12" s="473"/>
      <c r="VDM12" s="473"/>
      <c r="VDN12" s="473"/>
      <c r="VDO12" s="473"/>
      <c r="VDP12" s="473"/>
      <c r="VDQ12" s="473"/>
      <c r="VDR12" s="473"/>
      <c r="VDS12" s="473"/>
      <c r="VDT12" s="473"/>
      <c r="VDU12" s="473"/>
      <c r="VDV12" s="473"/>
      <c r="VDW12" s="473"/>
      <c r="VDX12" s="473"/>
      <c r="VDY12" s="473"/>
      <c r="VDZ12" s="473"/>
      <c r="VEA12" s="473"/>
      <c r="VEB12" s="473"/>
      <c r="VEC12" s="473"/>
      <c r="VED12" s="473"/>
      <c r="VEE12" s="473"/>
      <c r="VEF12" s="473"/>
      <c r="VEG12" s="473"/>
      <c r="VEH12" s="473"/>
      <c r="VEI12" s="473"/>
      <c r="VEJ12" s="473"/>
      <c r="VEK12" s="473"/>
      <c r="VEL12" s="473"/>
      <c r="VEM12" s="473"/>
      <c r="VEN12" s="473"/>
      <c r="VEO12" s="473"/>
      <c r="VEP12" s="473"/>
      <c r="VEQ12" s="473"/>
      <c r="VER12" s="473"/>
      <c r="VES12" s="473"/>
      <c r="VET12" s="473"/>
      <c r="VEU12" s="473"/>
      <c r="VEV12" s="473"/>
      <c r="VEW12" s="473"/>
      <c r="VEX12" s="473"/>
      <c r="VEY12" s="473"/>
      <c r="VEZ12" s="473"/>
      <c r="VFA12" s="473"/>
      <c r="VFB12" s="473"/>
      <c r="VFC12" s="473"/>
      <c r="VFD12" s="473"/>
      <c r="VFE12" s="473"/>
      <c r="VFF12" s="473"/>
      <c r="VFG12" s="473"/>
      <c r="VFH12" s="473"/>
      <c r="VFI12" s="473"/>
      <c r="VFJ12" s="473"/>
      <c r="VFK12" s="473"/>
      <c r="VFL12" s="473"/>
      <c r="VFM12" s="473"/>
      <c r="VFN12" s="473"/>
      <c r="VFO12" s="473"/>
      <c r="VFP12" s="473"/>
      <c r="VFQ12" s="473"/>
      <c r="VFR12" s="473"/>
      <c r="VFS12" s="473"/>
      <c r="VFT12" s="473"/>
      <c r="VFU12" s="473"/>
      <c r="VFV12" s="473"/>
      <c r="VFW12" s="473"/>
      <c r="VFX12" s="473"/>
      <c r="VFY12" s="473"/>
      <c r="VFZ12" s="473"/>
      <c r="VGA12" s="473"/>
      <c r="VGB12" s="473"/>
      <c r="VGC12" s="473"/>
      <c r="VGD12" s="473"/>
      <c r="VGE12" s="473"/>
      <c r="VGF12" s="473"/>
      <c r="VGG12" s="473"/>
      <c r="VGH12" s="473"/>
      <c r="VGI12" s="473"/>
      <c r="VGJ12" s="473"/>
      <c r="VGK12" s="473"/>
      <c r="VGL12" s="473"/>
      <c r="VGM12" s="473"/>
      <c r="VGN12" s="473"/>
      <c r="VGO12" s="473"/>
      <c r="VGP12" s="473"/>
      <c r="VGQ12" s="473"/>
      <c r="VGR12" s="473"/>
      <c r="VGS12" s="473"/>
      <c r="VGT12" s="473"/>
      <c r="VGU12" s="473"/>
      <c r="VGV12" s="473"/>
      <c r="VGW12" s="473"/>
      <c r="VGX12" s="473"/>
      <c r="VGY12" s="473"/>
      <c r="VGZ12" s="473"/>
      <c r="VHA12" s="473"/>
      <c r="VHB12" s="473"/>
      <c r="VHC12" s="473"/>
      <c r="VHD12" s="473"/>
      <c r="VHE12" s="473"/>
      <c r="VHF12" s="473"/>
      <c r="VHG12" s="473"/>
      <c r="VHH12" s="473"/>
      <c r="VHI12" s="473"/>
      <c r="VHJ12" s="473"/>
      <c r="VHK12" s="473"/>
      <c r="VHL12" s="473"/>
      <c r="VHM12" s="473"/>
      <c r="VHN12" s="473"/>
      <c r="VHO12" s="473"/>
      <c r="VHP12" s="473"/>
      <c r="VHQ12" s="473"/>
      <c r="VHR12" s="473"/>
      <c r="VHS12" s="473"/>
      <c r="VHT12" s="473"/>
      <c r="VHU12" s="473"/>
      <c r="VHV12" s="473"/>
      <c r="VHW12" s="473"/>
      <c r="VHX12" s="473"/>
      <c r="VHY12" s="473"/>
      <c r="VHZ12" s="473"/>
      <c r="VIA12" s="473"/>
      <c r="VIB12" s="473"/>
      <c r="VIC12" s="473"/>
      <c r="VID12" s="473"/>
      <c r="VIE12" s="473"/>
      <c r="VIF12" s="473"/>
      <c r="VIG12" s="473"/>
      <c r="VIH12" s="473"/>
      <c r="VII12" s="473"/>
      <c r="VIJ12" s="473"/>
      <c r="VIK12" s="473"/>
      <c r="VIL12" s="473"/>
      <c r="VIM12" s="473"/>
      <c r="VIN12" s="473"/>
      <c r="VIO12" s="473"/>
      <c r="VIP12" s="473"/>
      <c r="VIQ12" s="473"/>
      <c r="VIR12" s="473"/>
      <c r="VIS12" s="473"/>
      <c r="VIT12" s="473"/>
      <c r="VIU12" s="473"/>
      <c r="VIV12" s="473"/>
      <c r="VIW12" s="473"/>
      <c r="VIX12" s="473"/>
      <c r="VIY12" s="473"/>
      <c r="VIZ12" s="473"/>
      <c r="VJA12" s="473"/>
      <c r="VJB12" s="473"/>
      <c r="VJC12" s="473"/>
      <c r="VJD12" s="473"/>
      <c r="VJE12" s="473"/>
      <c r="VJF12" s="473"/>
      <c r="VJG12" s="473"/>
      <c r="VJH12" s="473"/>
      <c r="VJI12" s="473"/>
      <c r="VJJ12" s="473"/>
      <c r="VJK12" s="473"/>
      <c r="VJL12" s="473"/>
      <c r="VJM12" s="473"/>
      <c r="VJN12" s="473"/>
      <c r="VJO12" s="473"/>
      <c r="VJP12" s="473"/>
      <c r="VJQ12" s="473"/>
      <c r="VJR12" s="473"/>
      <c r="VJS12" s="473"/>
      <c r="VJT12" s="473"/>
      <c r="VJU12" s="473"/>
      <c r="VJV12" s="473"/>
      <c r="VJW12" s="473"/>
      <c r="VJX12" s="473"/>
      <c r="VJY12" s="473"/>
      <c r="VJZ12" s="473"/>
      <c r="VKA12" s="473"/>
      <c r="VKB12" s="473"/>
      <c r="VKC12" s="473"/>
      <c r="VKD12" s="473"/>
      <c r="VKE12" s="473"/>
      <c r="VKF12" s="473"/>
      <c r="VKG12" s="473"/>
      <c r="VKH12" s="473"/>
      <c r="VKI12" s="473"/>
      <c r="VKJ12" s="473"/>
      <c r="VKK12" s="473"/>
      <c r="VKL12" s="473"/>
      <c r="VKM12" s="473"/>
      <c r="VKN12" s="473"/>
      <c r="VKO12" s="473"/>
      <c r="VKP12" s="473"/>
      <c r="VKQ12" s="473"/>
      <c r="VKR12" s="473"/>
      <c r="VKS12" s="473"/>
      <c r="VKT12" s="473"/>
      <c r="VKU12" s="473"/>
      <c r="VKV12" s="473"/>
      <c r="VKW12" s="473"/>
      <c r="VKX12" s="473"/>
      <c r="VKY12" s="473"/>
      <c r="VKZ12" s="473"/>
      <c r="VLA12" s="473"/>
      <c r="VLB12" s="473"/>
      <c r="VLC12" s="473"/>
      <c r="VLD12" s="473"/>
      <c r="VLE12" s="473"/>
      <c r="VLF12" s="473"/>
      <c r="VLG12" s="473"/>
      <c r="VLH12" s="473"/>
      <c r="VLI12" s="473"/>
      <c r="VLJ12" s="473"/>
      <c r="VLK12" s="473"/>
      <c r="VLL12" s="473"/>
      <c r="VLM12" s="473"/>
      <c r="VLN12" s="473"/>
      <c r="VLO12" s="473"/>
      <c r="VLP12" s="473"/>
      <c r="VLQ12" s="473"/>
      <c r="VLR12" s="473"/>
      <c r="VLS12" s="473"/>
      <c r="VLT12" s="473"/>
      <c r="VLU12" s="473"/>
      <c r="VLV12" s="473"/>
      <c r="VLW12" s="473"/>
      <c r="VLX12" s="473"/>
      <c r="VLY12" s="473"/>
      <c r="VLZ12" s="473"/>
      <c r="VMA12" s="473"/>
      <c r="VMB12" s="473"/>
      <c r="VMC12" s="473"/>
      <c r="VMD12" s="473"/>
      <c r="VME12" s="473"/>
      <c r="VMF12" s="473"/>
      <c r="VMG12" s="473"/>
      <c r="VMH12" s="473"/>
      <c r="VMI12" s="473"/>
      <c r="VMJ12" s="473"/>
      <c r="VMK12" s="473"/>
      <c r="VML12" s="473"/>
      <c r="VMM12" s="473"/>
      <c r="VMN12" s="473"/>
      <c r="VMO12" s="473"/>
      <c r="VMP12" s="473"/>
      <c r="VMQ12" s="473"/>
      <c r="VMR12" s="473"/>
      <c r="VMS12" s="473"/>
      <c r="VMT12" s="473"/>
      <c r="VMU12" s="473"/>
      <c r="VMV12" s="473"/>
      <c r="VMW12" s="473"/>
      <c r="VMX12" s="473"/>
      <c r="VMY12" s="473"/>
      <c r="VMZ12" s="473"/>
      <c r="VNA12" s="473"/>
      <c r="VNB12" s="473"/>
      <c r="VNC12" s="473"/>
      <c r="VND12" s="473"/>
      <c r="VNE12" s="473"/>
      <c r="VNF12" s="473"/>
      <c r="VNG12" s="473"/>
      <c r="VNH12" s="473"/>
      <c r="VNI12" s="473"/>
      <c r="VNJ12" s="473"/>
      <c r="VNK12" s="473"/>
      <c r="VNL12" s="473"/>
      <c r="VNM12" s="473"/>
      <c r="VNN12" s="473"/>
      <c r="VNO12" s="473"/>
      <c r="VNP12" s="473"/>
      <c r="VNQ12" s="473"/>
      <c r="VNR12" s="473"/>
      <c r="VNS12" s="473"/>
      <c r="VNT12" s="473"/>
      <c r="VNU12" s="473"/>
      <c r="VNV12" s="473"/>
      <c r="VNW12" s="473"/>
      <c r="VNX12" s="473"/>
      <c r="VNY12" s="473"/>
      <c r="VNZ12" s="473"/>
      <c r="VOA12" s="473"/>
      <c r="VOB12" s="473"/>
      <c r="VOC12" s="473"/>
      <c r="VOD12" s="473"/>
      <c r="VOE12" s="473"/>
      <c r="VOF12" s="473"/>
      <c r="VOG12" s="473"/>
      <c r="VOH12" s="473"/>
      <c r="VOI12" s="473"/>
      <c r="VOJ12" s="473"/>
      <c r="VOK12" s="473"/>
      <c r="VOL12" s="473"/>
      <c r="VOM12" s="473"/>
      <c r="VON12" s="473"/>
      <c r="VOO12" s="473"/>
      <c r="VOP12" s="473"/>
      <c r="VOQ12" s="473"/>
      <c r="VOR12" s="473"/>
      <c r="VOS12" s="473"/>
      <c r="VOT12" s="473"/>
      <c r="VOU12" s="473"/>
      <c r="VOV12" s="473"/>
      <c r="VOW12" s="473"/>
      <c r="VOX12" s="473"/>
      <c r="VOY12" s="473"/>
      <c r="VOZ12" s="473"/>
      <c r="VPA12" s="473"/>
      <c r="VPB12" s="473"/>
      <c r="VPC12" s="473"/>
      <c r="VPD12" s="473"/>
      <c r="VPE12" s="473"/>
      <c r="VPF12" s="473"/>
      <c r="VPG12" s="473"/>
      <c r="VPH12" s="473"/>
      <c r="VPI12" s="473"/>
      <c r="VPJ12" s="473"/>
      <c r="VPK12" s="473"/>
      <c r="VPL12" s="473"/>
      <c r="VPM12" s="473"/>
      <c r="VPN12" s="473"/>
      <c r="VPO12" s="473"/>
      <c r="VPP12" s="473"/>
      <c r="VPQ12" s="473"/>
      <c r="VPR12" s="473"/>
      <c r="VPS12" s="473"/>
      <c r="VPT12" s="473"/>
      <c r="VPU12" s="473"/>
      <c r="VPV12" s="473"/>
      <c r="VPW12" s="473"/>
      <c r="VPX12" s="473"/>
      <c r="VPY12" s="473"/>
      <c r="VPZ12" s="473"/>
      <c r="VQA12" s="473"/>
      <c r="VQB12" s="473"/>
      <c r="VQC12" s="473"/>
      <c r="VQD12" s="473"/>
      <c r="VQE12" s="473"/>
      <c r="VQF12" s="473"/>
      <c r="VQG12" s="473"/>
      <c r="VQH12" s="473"/>
      <c r="VQI12" s="473"/>
      <c r="VQJ12" s="473"/>
      <c r="VQK12" s="473"/>
      <c r="VQL12" s="473"/>
      <c r="VQM12" s="473"/>
      <c r="VQN12" s="473"/>
      <c r="VQO12" s="473"/>
      <c r="VQP12" s="473"/>
      <c r="VQQ12" s="473"/>
      <c r="VQR12" s="473"/>
      <c r="VQS12" s="473"/>
      <c r="VQT12" s="473"/>
      <c r="VQU12" s="473"/>
      <c r="VQV12" s="473"/>
      <c r="VQW12" s="473"/>
      <c r="VQX12" s="473"/>
      <c r="VQY12" s="473"/>
      <c r="VQZ12" s="473"/>
      <c r="VRA12" s="473"/>
      <c r="VRB12" s="473"/>
      <c r="VRC12" s="473"/>
      <c r="VRD12" s="473"/>
      <c r="VRE12" s="473"/>
      <c r="VRF12" s="473"/>
      <c r="VRG12" s="473"/>
      <c r="VRH12" s="473"/>
      <c r="VRI12" s="473"/>
      <c r="VRJ12" s="473"/>
      <c r="VRK12" s="473"/>
      <c r="VRL12" s="473"/>
      <c r="VRM12" s="473"/>
      <c r="VRN12" s="473"/>
      <c r="VRO12" s="473"/>
      <c r="VRP12" s="473"/>
      <c r="VRQ12" s="473"/>
      <c r="VRR12" s="473"/>
      <c r="VRS12" s="473"/>
      <c r="VRT12" s="473"/>
      <c r="VRU12" s="473"/>
      <c r="VRV12" s="473"/>
      <c r="VRW12" s="473"/>
      <c r="VRX12" s="473"/>
      <c r="VRY12" s="473"/>
      <c r="VRZ12" s="473"/>
      <c r="VSA12" s="473"/>
      <c r="VSB12" s="473"/>
      <c r="VSC12" s="473"/>
      <c r="VSD12" s="473"/>
      <c r="VSE12" s="473"/>
      <c r="VSF12" s="473"/>
      <c r="VSG12" s="473"/>
      <c r="VSH12" s="473"/>
      <c r="VSI12" s="473"/>
      <c r="VSJ12" s="473"/>
      <c r="VSK12" s="473"/>
      <c r="VSL12" s="473"/>
      <c r="VSM12" s="473"/>
      <c r="VSN12" s="473"/>
      <c r="VSO12" s="473"/>
      <c r="VSP12" s="473"/>
      <c r="VSQ12" s="473"/>
      <c r="VSR12" s="473"/>
      <c r="VSS12" s="473"/>
      <c r="VST12" s="473"/>
      <c r="VSU12" s="473"/>
      <c r="VSV12" s="473"/>
      <c r="VSW12" s="473"/>
      <c r="VSX12" s="473"/>
      <c r="VSY12" s="473"/>
      <c r="VSZ12" s="473"/>
      <c r="VTA12" s="473"/>
      <c r="VTB12" s="473"/>
      <c r="VTC12" s="473"/>
      <c r="VTD12" s="473"/>
      <c r="VTE12" s="473"/>
      <c r="VTF12" s="473"/>
      <c r="VTG12" s="473"/>
      <c r="VTH12" s="473"/>
      <c r="VTI12" s="473"/>
      <c r="VTJ12" s="473"/>
      <c r="VTK12" s="473"/>
      <c r="VTL12" s="473"/>
      <c r="VTM12" s="473"/>
      <c r="VTN12" s="473"/>
      <c r="VTO12" s="473"/>
      <c r="VTP12" s="473"/>
      <c r="VTQ12" s="473"/>
      <c r="VTR12" s="473"/>
      <c r="VTS12" s="473"/>
      <c r="VTT12" s="473"/>
      <c r="VTU12" s="473"/>
      <c r="VTV12" s="473"/>
      <c r="VTW12" s="473"/>
      <c r="VTX12" s="473"/>
      <c r="VTY12" s="473"/>
      <c r="VTZ12" s="473"/>
      <c r="VUA12" s="473"/>
      <c r="VUB12" s="473"/>
      <c r="VUC12" s="473"/>
      <c r="VUD12" s="473"/>
      <c r="VUE12" s="473"/>
      <c r="VUF12" s="473"/>
      <c r="VUG12" s="473"/>
      <c r="VUH12" s="473"/>
      <c r="VUI12" s="473"/>
      <c r="VUJ12" s="473"/>
      <c r="VUK12" s="473"/>
      <c r="VUL12" s="473"/>
      <c r="VUM12" s="473"/>
      <c r="VUN12" s="473"/>
      <c r="VUO12" s="473"/>
      <c r="VUP12" s="473"/>
      <c r="VUQ12" s="473"/>
      <c r="VUR12" s="473"/>
      <c r="VUS12" s="473"/>
      <c r="VUT12" s="473"/>
      <c r="VUU12" s="473"/>
      <c r="VUV12" s="473"/>
      <c r="VUW12" s="473"/>
      <c r="VUX12" s="473"/>
      <c r="VUY12" s="473"/>
      <c r="VUZ12" s="473"/>
      <c r="VVA12" s="473"/>
      <c r="VVB12" s="473"/>
      <c r="VVC12" s="473"/>
      <c r="VVD12" s="473"/>
      <c r="VVE12" s="473"/>
      <c r="VVF12" s="473"/>
      <c r="VVG12" s="473"/>
      <c r="VVH12" s="473"/>
      <c r="VVI12" s="473"/>
      <c r="VVJ12" s="473"/>
      <c r="VVK12" s="473"/>
      <c r="VVL12" s="473"/>
      <c r="VVM12" s="473"/>
      <c r="VVN12" s="473"/>
      <c r="VVO12" s="473"/>
      <c r="VVP12" s="473"/>
      <c r="VVQ12" s="473"/>
      <c r="VVR12" s="473"/>
      <c r="VVS12" s="473"/>
      <c r="VVT12" s="473"/>
      <c r="VVU12" s="473"/>
      <c r="VVV12" s="473"/>
      <c r="VVW12" s="473"/>
      <c r="VVX12" s="473"/>
      <c r="VVY12" s="473"/>
      <c r="VVZ12" s="473"/>
      <c r="VWA12" s="473"/>
      <c r="VWB12" s="473"/>
      <c r="VWC12" s="473"/>
      <c r="VWD12" s="473"/>
      <c r="VWE12" s="473"/>
      <c r="VWF12" s="473"/>
      <c r="VWG12" s="473"/>
      <c r="VWH12" s="473"/>
      <c r="VWI12" s="473"/>
      <c r="VWJ12" s="473"/>
      <c r="VWK12" s="473"/>
      <c r="VWL12" s="473"/>
      <c r="VWM12" s="473"/>
      <c r="VWN12" s="473"/>
      <c r="VWO12" s="473"/>
      <c r="VWP12" s="473"/>
      <c r="VWQ12" s="473"/>
      <c r="VWR12" s="473"/>
      <c r="VWS12" s="473"/>
      <c r="VWT12" s="473"/>
      <c r="VWU12" s="473"/>
      <c r="VWV12" s="473"/>
      <c r="VWW12" s="473"/>
      <c r="VWX12" s="473"/>
      <c r="VWY12" s="473"/>
      <c r="VWZ12" s="473"/>
      <c r="VXA12" s="473"/>
      <c r="VXB12" s="473"/>
      <c r="VXC12" s="473"/>
      <c r="VXD12" s="473"/>
      <c r="VXE12" s="473"/>
      <c r="VXF12" s="473"/>
      <c r="VXG12" s="473"/>
      <c r="VXH12" s="473"/>
      <c r="VXI12" s="473"/>
      <c r="VXJ12" s="473"/>
      <c r="VXK12" s="473"/>
      <c r="VXL12" s="473"/>
      <c r="VXM12" s="473"/>
      <c r="VXN12" s="473"/>
      <c r="VXO12" s="473"/>
      <c r="VXP12" s="473"/>
      <c r="VXQ12" s="473"/>
      <c r="VXR12" s="473"/>
      <c r="VXS12" s="473"/>
      <c r="VXT12" s="473"/>
      <c r="VXU12" s="473"/>
      <c r="VXV12" s="473"/>
      <c r="VXW12" s="473"/>
      <c r="VXX12" s="473"/>
      <c r="VXY12" s="473"/>
      <c r="VXZ12" s="473"/>
      <c r="VYA12" s="473"/>
      <c r="VYB12" s="473"/>
      <c r="VYC12" s="473"/>
      <c r="VYD12" s="473"/>
      <c r="VYE12" s="473"/>
      <c r="VYF12" s="473"/>
      <c r="VYG12" s="473"/>
      <c r="VYH12" s="473"/>
      <c r="VYI12" s="473"/>
      <c r="VYJ12" s="473"/>
      <c r="VYK12" s="473"/>
      <c r="VYL12" s="473"/>
      <c r="VYM12" s="473"/>
      <c r="VYN12" s="473"/>
      <c r="VYO12" s="473"/>
      <c r="VYP12" s="473"/>
      <c r="VYQ12" s="473"/>
      <c r="VYR12" s="473"/>
      <c r="VYS12" s="473"/>
      <c r="VYT12" s="473"/>
      <c r="VYU12" s="473"/>
      <c r="VYV12" s="473"/>
      <c r="VYW12" s="473"/>
      <c r="VYX12" s="473"/>
      <c r="VYY12" s="473"/>
      <c r="VYZ12" s="473"/>
      <c r="VZA12" s="473"/>
      <c r="VZB12" s="473"/>
      <c r="VZC12" s="473"/>
      <c r="VZD12" s="473"/>
      <c r="VZE12" s="473"/>
      <c r="VZF12" s="473"/>
      <c r="VZG12" s="473"/>
      <c r="VZH12" s="473"/>
      <c r="VZI12" s="473"/>
      <c r="VZJ12" s="473"/>
      <c r="VZK12" s="473"/>
      <c r="VZL12" s="473"/>
      <c r="VZM12" s="473"/>
      <c r="VZN12" s="473"/>
      <c r="VZO12" s="473"/>
      <c r="VZP12" s="473"/>
      <c r="VZQ12" s="473"/>
      <c r="VZR12" s="473"/>
      <c r="VZS12" s="473"/>
      <c r="VZT12" s="473"/>
      <c r="VZU12" s="473"/>
      <c r="VZV12" s="473"/>
      <c r="VZW12" s="473"/>
      <c r="VZX12" s="473"/>
      <c r="VZY12" s="473"/>
      <c r="VZZ12" s="473"/>
      <c r="WAA12" s="473"/>
      <c r="WAB12" s="473"/>
      <c r="WAC12" s="473"/>
      <c r="WAD12" s="473"/>
      <c r="WAE12" s="473"/>
      <c r="WAF12" s="473"/>
      <c r="WAG12" s="473"/>
      <c r="WAH12" s="473"/>
      <c r="WAI12" s="473"/>
      <c r="WAJ12" s="473"/>
      <c r="WAK12" s="473"/>
      <c r="WAL12" s="473"/>
      <c r="WAM12" s="473"/>
      <c r="WAN12" s="473"/>
      <c r="WAO12" s="473"/>
      <c r="WAP12" s="473"/>
      <c r="WAQ12" s="473"/>
      <c r="WAR12" s="473"/>
      <c r="WAS12" s="473"/>
      <c r="WAT12" s="473"/>
      <c r="WAU12" s="473"/>
      <c r="WAV12" s="473"/>
      <c r="WAW12" s="473"/>
      <c r="WAX12" s="473"/>
      <c r="WAY12" s="473"/>
      <c r="WAZ12" s="473"/>
      <c r="WBA12" s="473"/>
      <c r="WBB12" s="473"/>
      <c r="WBC12" s="473"/>
      <c r="WBD12" s="473"/>
      <c r="WBE12" s="473"/>
      <c r="WBF12" s="473"/>
      <c r="WBG12" s="473"/>
      <c r="WBH12" s="473"/>
      <c r="WBI12" s="473"/>
      <c r="WBJ12" s="473"/>
      <c r="WBK12" s="473"/>
      <c r="WBL12" s="473"/>
      <c r="WBM12" s="473"/>
      <c r="WBN12" s="473"/>
      <c r="WBO12" s="473"/>
      <c r="WBP12" s="473"/>
      <c r="WBQ12" s="473"/>
      <c r="WBR12" s="473"/>
      <c r="WBS12" s="473"/>
      <c r="WBT12" s="473"/>
      <c r="WBU12" s="473"/>
      <c r="WBV12" s="473"/>
      <c r="WBW12" s="473"/>
      <c r="WBX12" s="473"/>
      <c r="WBY12" s="473"/>
      <c r="WBZ12" s="473"/>
      <c r="WCA12" s="473"/>
      <c r="WCB12" s="473"/>
      <c r="WCC12" s="473"/>
      <c r="WCD12" s="473"/>
      <c r="WCE12" s="473"/>
      <c r="WCF12" s="473"/>
      <c r="WCG12" s="473"/>
      <c r="WCH12" s="473"/>
      <c r="WCI12" s="473"/>
      <c r="WCJ12" s="473"/>
      <c r="WCK12" s="473"/>
      <c r="WCL12" s="473"/>
      <c r="WCM12" s="473"/>
      <c r="WCN12" s="473"/>
      <c r="WCO12" s="473"/>
      <c r="WCP12" s="473"/>
      <c r="WCQ12" s="473"/>
      <c r="WCR12" s="473"/>
      <c r="WCS12" s="473"/>
      <c r="WCT12" s="473"/>
      <c r="WCU12" s="473"/>
      <c r="WCV12" s="473"/>
      <c r="WCW12" s="473"/>
      <c r="WCX12" s="473"/>
      <c r="WCY12" s="473"/>
      <c r="WCZ12" s="473"/>
      <c r="WDA12" s="473"/>
      <c r="WDB12" s="473"/>
      <c r="WDC12" s="473"/>
      <c r="WDD12" s="473"/>
      <c r="WDE12" s="473"/>
      <c r="WDF12" s="473"/>
      <c r="WDG12" s="473"/>
      <c r="WDH12" s="473"/>
      <c r="WDI12" s="473"/>
      <c r="WDJ12" s="473"/>
      <c r="WDK12" s="473"/>
      <c r="WDL12" s="473"/>
      <c r="WDM12" s="473"/>
      <c r="WDN12" s="473"/>
      <c r="WDO12" s="473"/>
      <c r="WDP12" s="473"/>
      <c r="WDQ12" s="473"/>
      <c r="WDR12" s="473"/>
      <c r="WDS12" s="473"/>
      <c r="WDT12" s="473"/>
      <c r="WDU12" s="473"/>
      <c r="WDV12" s="473"/>
      <c r="WDW12" s="473"/>
      <c r="WDX12" s="473"/>
      <c r="WDY12" s="473"/>
      <c r="WDZ12" s="473"/>
      <c r="WEA12" s="473"/>
      <c r="WEB12" s="473"/>
      <c r="WEC12" s="473"/>
      <c r="WED12" s="473"/>
      <c r="WEE12" s="473"/>
      <c r="WEF12" s="473"/>
      <c r="WEG12" s="473"/>
      <c r="WEH12" s="473"/>
      <c r="WEI12" s="473"/>
      <c r="WEJ12" s="473"/>
      <c r="WEK12" s="473"/>
      <c r="WEL12" s="473"/>
      <c r="WEM12" s="473"/>
      <c r="WEN12" s="473"/>
      <c r="WEO12" s="473"/>
      <c r="WEP12" s="473"/>
      <c r="WEQ12" s="473"/>
      <c r="WER12" s="473"/>
      <c r="WES12" s="473"/>
      <c r="WET12" s="473"/>
      <c r="WEU12" s="473"/>
      <c r="WEV12" s="473"/>
      <c r="WEW12" s="473"/>
      <c r="WEX12" s="473"/>
      <c r="WEY12" s="473"/>
      <c r="WEZ12" s="473"/>
      <c r="WFA12" s="473"/>
      <c r="WFB12" s="473"/>
      <c r="WFC12" s="473"/>
      <c r="WFD12" s="473"/>
      <c r="WFE12" s="473"/>
      <c r="WFF12" s="473"/>
      <c r="WFG12" s="473"/>
      <c r="WFH12" s="473"/>
      <c r="WFI12" s="473"/>
      <c r="WFJ12" s="473"/>
      <c r="WFK12" s="473"/>
      <c r="WFL12" s="473"/>
      <c r="WFM12" s="473"/>
      <c r="WFN12" s="473"/>
      <c r="WFO12" s="473"/>
      <c r="WFP12" s="473"/>
      <c r="WFQ12" s="473"/>
      <c r="WFR12" s="473"/>
      <c r="WFS12" s="473"/>
      <c r="WFT12" s="473"/>
      <c r="WFU12" s="473"/>
      <c r="WFV12" s="473"/>
      <c r="WFW12" s="473"/>
      <c r="WFX12" s="473"/>
      <c r="WFY12" s="473"/>
      <c r="WFZ12" s="473"/>
      <c r="WGA12" s="473"/>
      <c r="WGB12" s="473"/>
      <c r="WGC12" s="473"/>
      <c r="WGD12" s="473"/>
      <c r="WGE12" s="473"/>
      <c r="WGF12" s="473"/>
      <c r="WGG12" s="473"/>
      <c r="WGH12" s="473"/>
      <c r="WGI12" s="473"/>
      <c r="WGJ12" s="473"/>
      <c r="WGK12" s="473"/>
      <c r="WGL12" s="473"/>
      <c r="WGM12" s="473"/>
      <c r="WGN12" s="473"/>
      <c r="WGO12" s="473"/>
      <c r="WGP12" s="473"/>
      <c r="WGQ12" s="473"/>
      <c r="WGR12" s="473"/>
      <c r="WGS12" s="473"/>
      <c r="WGT12" s="473"/>
      <c r="WGU12" s="473"/>
      <c r="WGV12" s="473"/>
      <c r="WGW12" s="473"/>
      <c r="WGX12" s="473"/>
      <c r="WGY12" s="473"/>
      <c r="WGZ12" s="473"/>
      <c r="WHA12" s="473"/>
      <c r="WHB12" s="473"/>
      <c r="WHC12" s="473"/>
      <c r="WHD12" s="473"/>
      <c r="WHE12" s="473"/>
      <c r="WHF12" s="473"/>
      <c r="WHG12" s="473"/>
      <c r="WHH12" s="473"/>
      <c r="WHI12" s="473"/>
      <c r="WHJ12" s="473"/>
      <c r="WHK12" s="473"/>
      <c r="WHL12" s="473"/>
      <c r="WHM12" s="473"/>
      <c r="WHN12" s="473"/>
      <c r="WHO12" s="473"/>
      <c r="WHP12" s="473"/>
      <c r="WHQ12" s="473"/>
      <c r="WHR12" s="473"/>
      <c r="WHS12" s="473"/>
      <c r="WHT12" s="473"/>
      <c r="WHU12" s="473"/>
      <c r="WHV12" s="473"/>
      <c r="WHW12" s="473"/>
      <c r="WHX12" s="473"/>
      <c r="WHY12" s="473"/>
      <c r="WHZ12" s="473"/>
      <c r="WIA12" s="473"/>
      <c r="WIB12" s="473"/>
      <c r="WIC12" s="473"/>
      <c r="WID12" s="473"/>
      <c r="WIE12" s="473"/>
      <c r="WIF12" s="473"/>
      <c r="WIG12" s="473"/>
      <c r="WIH12" s="473"/>
      <c r="WII12" s="473"/>
      <c r="WIJ12" s="473"/>
      <c r="WIK12" s="473"/>
      <c r="WIL12" s="473"/>
      <c r="WIM12" s="473"/>
      <c r="WIN12" s="473"/>
      <c r="WIO12" s="473"/>
      <c r="WIP12" s="473"/>
      <c r="WIQ12" s="473"/>
      <c r="WIR12" s="473"/>
      <c r="WIS12" s="473"/>
      <c r="WIT12" s="473"/>
      <c r="WIU12" s="473"/>
      <c r="WIV12" s="473"/>
      <c r="WIW12" s="473"/>
      <c r="WIX12" s="473"/>
      <c r="WIY12" s="473"/>
      <c r="WIZ12" s="473"/>
      <c r="WJA12" s="473"/>
      <c r="WJB12" s="473"/>
      <c r="WJC12" s="473"/>
      <c r="WJD12" s="473"/>
      <c r="WJE12" s="473"/>
      <c r="WJF12" s="473"/>
      <c r="WJG12" s="473"/>
      <c r="WJH12" s="473"/>
      <c r="WJI12" s="473"/>
      <c r="WJJ12" s="473"/>
      <c r="WJK12" s="473"/>
      <c r="WJL12" s="473"/>
      <c r="WJM12" s="473"/>
      <c r="WJN12" s="473"/>
      <c r="WJO12" s="473"/>
      <c r="WJP12" s="473"/>
      <c r="WJQ12" s="473"/>
      <c r="WJR12" s="473"/>
      <c r="WJS12" s="473"/>
      <c r="WJT12" s="473"/>
      <c r="WJU12" s="473"/>
      <c r="WJV12" s="473"/>
      <c r="WJW12" s="473"/>
      <c r="WJX12" s="473"/>
      <c r="WJY12" s="473"/>
      <c r="WJZ12" s="473"/>
      <c r="WKA12" s="473"/>
      <c r="WKB12" s="473"/>
      <c r="WKC12" s="473"/>
      <c r="WKD12" s="473"/>
      <c r="WKE12" s="473"/>
      <c r="WKF12" s="473"/>
      <c r="WKG12" s="473"/>
      <c r="WKH12" s="473"/>
      <c r="WKI12" s="473"/>
      <c r="WKJ12" s="473"/>
      <c r="WKK12" s="473"/>
      <c r="WKL12" s="473"/>
      <c r="WKM12" s="473"/>
      <c r="WKN12" s="473"/>
      <c r="WKO12" s="473"/>
      <c r="WKP12" s="473"/>
      <c r="WKQ12" s="473"/>
      <c r="WKR12" s="473"/>
      <c r="WKS12" s="473"/>
      <c r="WKT12" s="473"/>
      <c r="WKU12" s="473"/>
      <c r="WKV12" s="473"/>
      <c r="WKW12" s="473"/>
      <c r="WKX12" s="473"/>
      <c r="WKY12" s="473"/>
      <c r="WKZ12" s="473"/>
      <c r="WLA12" s="473"/>
      <c r="WLB12" s="473"/>
      <c r="WLC12" s="473"/>
      <c r="WLD12" s="473"/>
      <c r="WLE12" s="473"/>
      <c r="WLF12" s="473"/>
      <c r="WLG12" s="473"/>
      <c r="WLH12" s="473"/>
      <c r="WLI12" s="473"/>
      <c r="WLJ12" s="473"/>
      <c r="WLK12" s="473"/>
      <c r="WLL12" s="473"/>
      <c r="WLM12" s="473"/>
      <c r="WLN12" s="473"/>
      <c r="WLO12" s="473"/>
      <c r="WLP12" s="473"/>
      <c r="WLQ12" s="473"/>
      <c r="WLR12" s="473"/>
      <c r="WLS12" s="473"/>
      <c r="WLT12" s="473"/>
      <c r="WLU12" s="473"/>
      <c r="WLV12" s="473"/>
      <c r="WLW12" s="473"/>
      <c r="WLX12" s="473"/>
      <c r="WLY12" s="473"/>
      <c r="WLZ12" s="473"/>
      <c r="WMA12" s="473"/>
      <c r="WMB12" s="473"/>
      <c r="WMC12" s="473"/>
      <c r="WMD12" s="473"/>
      <c r="WME12" s="473"/>
      <c r="WMF12" s="473"/>
      <c r="WMG12" s="473"/>
      <c r="WMH12" s="473"/>
      <c r="WMI12" s="473"/>
      <c r="WMJ12" s="473"/>
      <c r="WMK12" s="473"/>
      <c r="WML12" s="473"/>
      <c r="WMM12" s="473"/>
      <c r="WMN12" s="473"/>
      <c r="WMO12" s="473"/>
      <c r="WMP12" s="473"/>
      <c r="WMQ12" s="473"/>
      <c r="WMR12" s="473"/>
      <c r="WMS12" s="473"/>
      <c r="WMT12" s="473"/>
      <c r="WMU12" s="473"/>
      <c r="WMV12" s="473"/>
      <c r="WMW12" s="473"/>
      <c r="WMX12" s="473"/>
      <c r="WMY12" s="473"/>
      <c r="WMZ12" s="473"/>
      <c r="WNA12" s="473"/>
      <c r="WNB12" s="473"/>
      <c r="WNC12" s="473"/>
      <c r="WND12" s="473"/>
      <c r="WNE12" s="473"/>
      <c r="WNF12" s="473"/>
      <c r="WNG12" s="473"/>
      <c r="WNH12" s="473"/>
      <c r="WNI12" s="473"/>
      <c r="WNJ12" s="473"/>
      <c r="WNK12" s="473"/>
      <c r="WNL12" s="473"/>
      <c r="WNM12" s="473"/>
      <c r="WNN12" s="473"/>
      <c r="WNO12" s="473"/>
      <c r="WNP12" s="473"/>
      <c r="WNQ12" s="473"/>
      <c r="WNR12" s="473"/>
      <c r="WNS12" s="473"/>
      <c r="WNT12" s="473"/>
      <c r="WNU12" s="473"/>
      <c r="WNV12" s="473"/>
      <c r="WNW12" s="473"/>
      <c r="WNX12" s="473"/>
      <c r="WNY12" s="473"/>
      <c r="WNZ12" s="473"/>
      <c r="WOA12" s="473"/>
      <c r="WOB12" s="473"/>
      <c r="WOC12" s="473"/>
      <c r="WOD12" s="473"/>
      <c r="WOE12" s="473"/>
      <c r="WOF12" s="473"/>
      <c r="WOG12" s="473"/>
      <c r="WOH12" s="473"/>
      <c r="WOI12" s="473"/>
      <c r="WOJ12" s="473"/>
      <c r="WOK12" s="473"/>
      <c r="WOL12" s="473"/>
      <c r="WOM12" s="473"/>
      <c r="WON12" s="473"/>
      <c r="WOO12" s="473"/>
      <c r="WOP12" s="473"/>
      <c r="WOQ12" s="473"/>
      <c r="WOR12" s="473"/>
      <c r="WOS12" s="473"/>
      <c r="WOT12" s="473"/>
      <c r="WOU12" s="473"/>
      <c r="WOV12" s="473"/>
      <c r="WOW12" s="473"/>
      <c r="WOX12" s="473"/>
      <c r="WOY12" s="473"/>
      <c r="WOZ12" s="473"/>
      <c r="WPA12" s="473"/>
      <c r="WPB12" s="473"/>
      <c r="WPC12" s="473"/>
      <c r="WPD12" s="473"/>
      <c r="WPE12" s="473"/>
      <c r="WPF12" s="473"/>
      <c r="WPG12" s="473"/>
      <c r="WPH12" s="473"/>
      <c r="WPI12" s="473"/>
      <c r="WPJ12" s="473"/>
      <c r="WPK12" s="473"/>
      <c r="WPL12" s="473"/>
      <c r="WPM12" s="473"/>
      <c r="WPN12" s="473"/>
      <c r="WPO12" s="473"/>
      <c r="WPP12" s="473"/>
      <c r="WPQ12" s="473"/>
      <c r="WPR12" s="473"/>
      <c r="WPS12" s="473"/>
      <c r="WPT12" s="473"/>
      <c r="WPU12" s="473"/>
      <c r="WPV12" s="473"/>
      <c r="WPW12" s="473"/>
      <c r="WPX12" s="473"/>
      <c r="WPY12" s="473"/>
      <c r="WPZ12" s="473"/>
      <c r="WQA12" s="473"/>
      <c r="WQB12" s="473"/>
      <c r="WQC12" s="473"/>
      <c r="WQD12" s="473"/>
      <c r="WQE12" s="473"/>
      <c r="WQF12" s="473"/>
      <c r="WQG12" s="473"/>
      <c r="WQH12" s="473"/>
      <c r="WQI12" s="473"/>
      <c r="WQJ12" s="473"/>
      <c r="WQK12" s="473"/>
      <c r="WQL12" s="473"/>
      <c r="WQM12" s="473"/>
      <c r="WQN12" s="473"/>
      <c r="WQO12" s="473"/>
      <c r="WQP12" s="473"/>
      <c r="WQQ12" s="473"/>
      <c r="WQR12" s="473"/>
      <c r="WQS12" s="473"/>
      <c r="WQT12" s="473"/>
      <c r="WQU12" s="473"/>
      <c r="WQV12" s="473"/>
      <c r="WQW12" s="473"/>
      <c r="WQX12" s="473"/>
      <c r="WQY12" s="473"/>
      <c r="WQZ12" s="473"/>
      <c r="WRA12" s="473"/>
      <c r="WRB12" s="473"/>
      <c r="WRC12" s="473"/>
      <c r="WRD12" s="473"/>
      <c r="WRE12" s="473"/>
      <c r="WRF12" s="473"/>
      <c r="WRG12" s="473"/>
      <c r="WRH12" s="473"/>
      <c r="WRI12" s="473"/>
      <c r="WRJ12" s="473"/>
      <c r="WRK12" s="473"/>
      <c r="WRL12" s="473"/>
      <c r="WRM12" s="473"/>
      <c r="WRN12" s="473"/>
      <c r="WRO12" s="473"/>
      <c r="WRP12" s="473"/>
      <c r="WRQ12" s="473"/>
      <c r="WRR12" s="473"/>
      <c r="WRS12" s="473"/>
      <c r="WRT12" s="473"/>
      <c r="WRU12" s="473"/>
      <c r="WRV12" s="473"/>
      <c r="WRW12" s="473"/>
      <c r="WRX12" s="473"/>
      <c r="WRY12" s="473"/>
      <c r="WRZ12" s="473"/>
      <c r="WSA12" s="473"/>
      <c r="WSB12" s="473"/>
      <c r="WSC12" s="473"/>
      <c r="WSD12" s="473"/>
      <c r="WSE12" s="473"/>
      <c r="WSF12" s="473"/>
      <c r="WSG12" s="473"/>
      <c r="WSH12" s="473"/>
      <c r="WSI12" s="473"/>
      <c r="WSJ12" s="473"/>
      <c r="WSK12" s="473"/>
      <c r="WSL12" s="473"/>
      <c r="WSM12" s="473"/>
      <c r="WSN12" s="473"/>
      <c r="WSO12" s="473"/>
      <c r="WSP12" s="473"/>
      <c r="WSQ12" s="473"/>
      <c r="WSR12" s="473"/>
      <c r="WSS12" s="473"/>
      <c r="WST12" s="473"/>
      <c r="WSU12" s="473"/>
      <c r="WSV12" s="473"/>
      <c r="WSW12" s="473"/>
      <c r="WSX12" s="473"/>
      <c r="WSY12" s="473"/>
      <c r="WSZ12" s="473"/>
      <c r="WTA12" s="473"/>
      <c r="WTB12" s="473"/>
      <c r="WTC12" s="473"/>
      <c r="WTD12" s="473"/>
      <c r="WTE12" s="473"/>
      <c r="WTF12" s="473"/>
      <c r="WTG12" s="473"/>
      <c r="WTH12" s="473"/>
      <c r="WTI12" s="473"/>
      <c r="WTJ12" s="473"/>
      <c r="WTK12" s="473"/>
      <c r="WTL12" s="473"/>
      <c r="WTM12" s="473"/>
      <c r="WTN12" s="473"/>
      <c r="WTO12" s="473"/>
      <c r="WTP12" s="473"/>
      <c r="WTQ12" s="473"/>
      <c r="WTR12" s="473"/>
      <c r="WTS12" s="473"/>
      <c r="WTT12" s="473"/>
      <c r="WTU12" s="473"/>
      <c r="WTV12" s="473"/>
      <c r="WTW12" s="473"/>
      <c r="WTX12" s="473"/>
      <c r="WTY12" s="473"/>
      <c r="WTZ12" s="473"/>
      <c r="WUA12" s="473"/>
      <c r="WUB12" s="473"/>
      <c r="WUC12" s="473"/>
      <c r="WUD12" s="473"/>
      <c r="WUE12" s="473"/>
      <c r="WUF12" s="473"/>
      <c r="WUG12" s="473"/>
      <c r="WUH12" s="473"/>
      <c r="WUI12" s="473"/>
      <c r="WUJ12" s="473"/>
      <c r="WUK12" s="473"/>
      <c r="WUL12" s="473"/>
      <c r="WUM12" s="473"/>
      <c r="WUN12" s="473"/>
      <c r="WUO12" s="473"/>
      <c r="WUP12" s="473"/>
      <c r="WUQ12" s="473"/>
      <c r="WUR12" s="473"/>
      <c r="WUS12" s="473"/>
      <c r="WUT12" s="473"/>
      <c r="WUU12" s="473"/>
      <c r="WUV12" s="473"/>
      <c r="WUW12" s="473"/>
      <c r="WUX12" s="473"/>
      <c r="WUY12" s="473"/>
      <c r="WUZ12" s="473"/>
      <c r="WVA12" s="473"/>
      <c r="WVB12" s="473"/>
      <c r="WVC12" s="473"/>
      <c r="WVD12" s="473"/>
      <c r="WVE12" s="473"/>
      <c r="WVF12" s="473"/>
      <c r="WVG12" s="473"/>
      <c r="WVH12" s="473"/>
      <c r="WVI12" s="473"/>
      <c r="WVJ12" s="473"/>
      <c r="WVK12" s="473"/>
      <c r="WVL12" s="473"/>
      <c r="WVM12" s="473"/>
      <c r="WVN12" s="473"/>
      <c r="WVO12" s="473"/>
      <c r="WVP12" s="473"/>
      <c r="WVQ12" s="473"/>
      <c r="WVR12" s="473"/>
      <c r="WVS12" s="473"/>
      <c r="WVT12" s="473"/>
      <c r="WVU12" s="473"/>
      <c r="WVV12" s="473"/>
      <c r="WVW12" s="473"/>
      <c r="WVX12" s="473"/>
      <c r="WVY12" s="473"/>
      <c r="WVZ12" s="473"/>
      <c r="WWA12" s="473"/>
      <c r="WWB12" s="473"/>
      <c r="WWC12" s="473"/>
      <c r="WWD12" s="473"/>
      <c r="WWE12" s="473"/>
      <c r="WWF12" s="473"/>
      <c r="WWG12" s="473"/>
      <c r="WWH12" s="473"/>
      <c r="WWI12" s="473"/>
      <c r="WWJ12" s="473"/>
      <c r="WWK12" s="473"/>
      <c r="WWL12" s="473"/>
      <c r="WWM12" s="473"/>
      <c r="WWN12" s="473"/>
      <c r="WWO12" s="473"/>
      <c r="WWP12" s="473"/>
      <c r="WWQ12" s="473"/>
      <c r="WWR12" s="473"/>
      <c r="WWS12" s="473"/>
      <c r="WWT12" s="473"/>
      <c r="WWU12" s="473"/>
      <c r="WWV12" s="473"/>
      <c r="WWW12" s="473"/>
      <c r="WWX12" s="473"/>
      <c r="WWY12" s="473"/>
      <c r="WWZ12" s="473"/>
      <c r="WXA12" s="473"/>
      <c r="WXB12" s="473"/>
      <c r="WXC12" s="473"/>
      <c r="WXD12" s="473"/>
      <c r="WXE12" s="473"/>
      <c r="WXF12" s="473"/>
      <c r="WXG12" s="473"/>
      <c r="WXH12" s="473"/>
      <c r="WXI12" s="473"/>
      <c r="WXJ12" s="473"/>
      <c r="WXK12" s="473"/>
      <c r="WXL12" s="473"/>
      <c r="WXM12" s="473"/>
      <c r="WXN12" s="473"/>
      <c r="WXO12" s="473"/>
      <c r="WXP12" s="473"/>
      <c r="WXQ12" s="473"/>
      <c r="WXR12" s="473"/>
      <c r="WXS12" s="473"/>
      <c r="WXT12" s="473"/>
      <c r="WXU12" s="473"/>
      <c r="WXV12" s="473"/>
      <c r="WXW12" s="473"/>
      <c r="WXX12" s="473"/>
      <c r="WXY12" s="473"/>
      <c r="WXZ12" s="473"/>
      <c r="WYA12" s="473"/>
      <c r="WYB12" s="473"/>
      <c r="WYC12" s="473"/>
      <c r="WYD12" s="473"/>
      <c r="WYE12" s="473"/>
      <c r="WYF12" s="473"/>
      <c r="WYG12" s="473"/>
      <c r="WYH12" s="473"/>
      <c r="WYI12" s="473"/>
      <c r="WYJ12" s="473"/>
      <c r="WYK12" s="473"/>
      <c r="WYL12" s="473"/>
      <c r="WYM12" s="473"/>
      <c r="WYN12" s="473"/>
      <c r="WYO12" s="473"/>
      <c r="WYP12" s="473"/>
      <c r="WYQ12" s="473"/>
      <c r="WYR12" s="473"/>
      <c r="WYS12" s="473"/>
      <c r="WYT12" s="473"/>
      <c r="WYU12" s="473"/>
      <c r="WYV12" s="473"/>
      <c r="WYW12" s="473"/>
      <c r="WYX12" s="473"/>
      <c r="WYY12" s="473"/>
      <c r="WYZ12" s="473"/>
      <c r="WZA12" s="473"/>
      <c r="WZB12" s="473"/>
      <c r="WZC12" s="473"/>
      <c r="WZD12" s="473"/>
      <c r="WZE12" s="473"/>
      <c r="WZF12" s="473"/>
      <c r="WZG12" s="473"/>
      <c r="WZH12" s="473"/>
      <c r="WZI12" s="473"/>
      <c r="WZJ12" s="473"/>
      <c r="WZK12" s="473"/>
      <c r="WZL12" s="473"/>
      <c r="WZM12" s="473"/>
      <c r="WZN12" s="473"/>
      <c r="WZO12" s="473"/>
      <c r="WZP12" s="473"/>
      <c r="WZQ12" s="473"/>
      <c r="WZR12" s="473"/>
      <c r="WZS12" s="473"/>
      <c r="WZT12" s="473"/>
      <c r="WZU12" s="473"/>
      <c r="WZV12" s="473"/>
      <c r="WZW12" s="473"/>
      <c r="WZX12" s="473"/>
      <c r="WZY12" s="473"/>
      <c r="WZZ12" s="473"/>
      <c r="XAA12" s="473"/>
      <c r="XAB12" s="473"/>
      <c r="XAC12" s="473"/>
      <c r="XAD12" s="473"/>
      <c r="XAE12" s="473"/>
      <c r="XAF12" s="473"/>
      <c r="XAG12" s="473"/>
      <c r="XAH12" s="473"/>
      <c r="XAI12" s="473"/>
      <c r="XAJ12" s="473"/>
      <c r="XAK12" s="473"/>
      <c r="XAL12" s="473"/>
      <c r="XAM12" s="473"/>
      <c r="XAN12" s="473"/>
      <c r="XAO12" s="473"/>
      <c r="XAP12" s="473"/>
      <c r="XAQ12" s="473"/>
      <c r="XAR12" s="473"/>
      <c r="XAS12" s="473"/>
      <c r="XAT12" s="473"/>
      <c r="XAU12" s="473"/>
      <c r="XAV12" s="473"/>
      <c r="XAW12" s="473"/>
      <c r="XAX12" s="473"/>
      <c r="XAY12" s="473"/>
      <c r="XAZ12" s="473"/>
      <c r="XBA12" s="473"/>
      <c r="XBB12" s="473"/>
      <c r="XBC12" s="473"/>
      <c r="XBD12" s="473"/>
      <c r="XBE12" s="473"/>
      <c r="XBF12" s="473"/>
      <c r="XBG12" s="473"/>
      <c r="XBH12" s="473"/>
      <c r="XBI12" s="473"/>
      <c r="XBJ12" s="473"/>
      <c r="XBK12" s="473"/>
      <c r="XBL12" s="473"/>
      <c r="XBM12" s="473"/>
      <c r="XBN12" s="473"/>
      <c r="XBO12" s="473"/>
      <c r="XBP12" s="473"/>
      <c r="XBQ12" s="473"/>
      <c r="XBR12" s="473"/>
      <c r="XBS12" s="473"/>
      <c r="XBT12" s="473"/>
      <c r="XBU12" s="473"/>
      <c r="XBV12" s="473"/>
      <c r="XBW12" s="473"/>
      <c r="XBX12" s="473"/>
      <c r="XBY12" s="473"/>
      <c r="XBZ12" s="473"/>
      <c r="XCA12" s="473"/>
      <c r="XCB12" s="473"/>
      <c r="XCC12" s="473"/>
      <c r="XCD12" s="473"/>
      <c r="XCE12" s="473"/>
      <c r="XCF12" s="473"/>
      <c r="XCG12" s="473"/>
      <c r="XCH12" s="473"/>
      <c r="XCI12" s="473"/>
      <c r="XCJ12" s="473"/>
      <c r="XCK12" s="473"/>
      <c r="XCL12" s="473"/>
      <c r="XCM12" s="473"/>
      <c r="XCN12" s="473"/>
      <c r="XCO12" s="473"/>
      <c r="XCP12" s="473"/>
      <c r="XCQ12" s="473"/>
      <c r="XCR12" s="473"/>
      <c r="XCS12" s="473"/>
      <c r="XCT12" s="473"/>
      <c r="XCU12" s="473"/>
      <c r="XCV12" s="473"/>
      <c r="XCW12" s="473"/>
      <c r="XCX12" s="473"/>
      <c r="XCY12" s="473"/>
      <c r="XCZ12" s="473"/>
      <c r="XDA12" s="473"/>
      <c r="XDB12" s="473"/>
      <c r="XDC12" s="473"/>
      <c r="XDD12" s="473"/>
      <c r="XDE12" s="473"/>
      <c r="XDF12" s="473"/>
      <c r="XDG12" s="473"/>
      <c r="XDH12" s="473"/>
      <c r="XDI12" s="473"/>
      <c r="XDJ12" s="473"/>
      <c r="XDK12" s="473"/>
      <c r="XDL12" s="473"/>
      <c r="XDM12" s="473"/>
      <c r="XDN12" s="473"/>
      <c r="XDO12" s="473"/>
      <c r="XDP12" s="473"/>
      <c r="XDQ12" s="473"/>
      <c r="XDR12" s="473"/>
      <c r="XDS12" s="473"/>
      <c r="XDT12" s="473"/>
      <c r="XDU12" s="473"/>
      <c r="XDV12" s="473"/>
      <c r="XDW12" s="473"/>
      <c r="XDX12" s="473"/>
      <c r="XDY12" s="473"/>
      <c r="XDZ12" s="473"/>
      <c r="XEA12" s="473"/>
      <c r="XEB12" s="473"/>
      <c r="XEC12" s="473"/>
      <c r="XED12" s="473"/>
      <c r="XEE12" s="473"/>
      <c r="XEF12" s="473"/>
      <c r="XEG12" s="473"/>
      <c r="XEH12" s="473"/>
      <c r="XEI12" s="473"/>
      <c r="XEJ12" s="473"/>
      <c r="XEK12" s="473"/>
      <c r="XEL12" s="473"/>
      <c r="XEM12" s="473"/>
      <c r="XEN12" s="473"/>
      <c r="XEO12" s="473"/>
      <c r="XEP12" s="473"/>
      <c r="XEQ12" s="473"/>
      <c r="XER12" s="473"/>
      <c r="XES12" s="473"/>
      <c r="XET12" s="473"/>
      <c r="XEU12" s="473"/>
      <c r="XEV12" s="473"/>
      <c r="XEW12" s="473"/>
      <c r="XEX12" s="473"/>
      <c r="XEY12" s="473"/>
      <c r="XEZ12" s="473"/>
    </row>
    <row r="13" spans="1:16380" s="464" customFormat="1" ht="17.25" customHeight="1">
      <c r="A13" s="374" t="s">
        <v>241</v>
      </c>
      <c r="B13" s="374"/>
      <c r="C13" s="374"/>
      <c r="D13" s="374"/>
      <c r="E13" s="374"/>
      <c r="F13" s="374"/>
      <c r="G13" s="374"/>
      <c r="H13" s="374"/>
      <c r="I13" s="374"/>
      <c r="J13" s="374"/>
      <c r="K13" s="374"/>
      <c r="L13" s="374"/>
      <c r="M13" s="374"/>
      <c r="N13" s="374"/>
      <c r="O13" s="374"/>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19"/>
      <c r="DE13" s="319"/>
      <c r="DF13" s="319"/>
      <c r="DG13" s="319"/>
      <c r="DH13" s="319"/>
      <c r="DI13" s="319"/>
      <c r="DJ13" s="319"/>
      <c r="DK13" s="319"/>
      <c r="DL13" s="319"/>
      <c r="DM13" s="319"/>
      <c r="DN13" s="319"/>
      <c r="DO13" s="319"/>
      <c r="DP13" s="319"/>
      <c r="DQ13" s="319"/>
      <c r="DR13" s="319"/>
      <c r="DS13" s="319"/>
      <c r="DT13" s="319"/>
      <c r="DU13" s="319"/>
      <c r="DV13" s="319"/>
      <c r="DW13" s="319"/>
      <c r="DX13" s="319"/>
      <c r="DY13" s="319"/>
      <c r="DZ13" s="319"/>
      <c r="EA13" s="319"/>
      <c r="EB13" s="319"/>
      <c r="EC13" s="319"/>
      <c r="ED13" s="319"/>
      <c r="EE13" s="319"/>
      <c r="EF13" s="319"/>
      <c r="EG13" s="319"/>
      <c r="EH13" s="319"/>
      <c r="EI13" s="319"/>
      <c r="EJ13" s="319"/>
      <c r="EK13" s="319"/>
      <c r="EL13" s="319"/>
      <c r="EM13" s="319"/>
      <c r="EN13" s="319"/>
      <c r="EO13" s="319"/>
      <c r="EP13" s="319"/>
      <c r="EQ13" s="319"/>
      <c r="ER13" s="319"/>
      <c r="ES13" s="319"/>
      <c r="ET13" s="319"/>
      <c r="EU13" s="319"/>
      <c r="EV13" s="319"/>
      <c r="EW13" s="319"/>
      <c r="EX13" s="319"/>
      <c r="EY13" s="319"/>
      <c r="EZ13" s="319"/>
      <c r="FA13" s="319"/>
      <c r="FB13" s="319"/>
      <c r="FC13" s="319"/>
      <c r="FD13" s="319"/>
      <c r="FE13" s="319"/>
      <c r="FF13" s="319"/>
      <c r="FG13" s="319"/>
      <c r="FH13" s="319"/>
      <c r="FI13" s="319"/>
      <c r="FJ13" s="319"/>
      <c r="FK13" s="319"/>
      <c r="FL13" s="319"/>
      <c r="FM13" s="319"/>
      <c r="FN13" s="319"/>
      <c r="FO13" s="319"/>
      <c r="FP13" s="319"/>
      <c r="FQ13" s="319"/>
      <c r="FR13" s="319"/>
      <c r="FS13" s="319"/>
      <c r="FT13" s="319"/>
      <c r="FU13" s="319"/>
      <c r="FV13" s="319"/>
      <c r="FW13" s="319"/>
      <c r="FX13" s="319"/>
      <c r="FY13" s="319"/>
      <c r="FZ13" s="319"/>
      <c r="GA13" s="319"/>
      <c r="GB13" s="319"/>
      <c r="GC13" s="319"/>
      <c r="GD13" s="319"/>
      <c r="GE13" s="319"/>
      <c r="GF13" s="319"/>
      <c r="GG13" s="319"/>
      <c r="GH13" s="319"/>
      <c r="GI13" s="319"/>
      <c r="GJ13" s="319"/>
      <c r="GK13" s="319"/>
      <c r="GL13" s="319"/>
      <c r="GM13" s="319"/>
      <c r="GN13" s="319"/>
      <c r="GO13" s="319"/>
      <c r="GP13" s="319"/>
      <c r="GQ13" s="319"/>
      <c r="GR13" s="319"/>
      <c r="GS13" s="319"/>
      <c r="GT13" s="319"/>
      <c r="GU13" s="319"/>
      <c r="GV13" s="319"/>
      <c r="GW13" s="319"/>
      <c r="GX13" s="319"/>
      <c r="GY13" s="319"/>
      <c r="GZ13" s="319"/>
      <c r="HA13" s="319"/>
      <c r="HB13" s="319"/>
      <c r="HC13" s="319"/>
      <c r="HD13" s="319"/>
      <c r="HE13" s="319"/>
      <c r="HF13" s="319"/>
      <c r="HG13" s="319"/>
      <c r="HH13" s="319"/>
      <c r="HI13" s="319"/>
      <c r="HJ13" s="319"/>
      <c r="HK13" s="319"/>
      <c r="HL13" s="319"/>
      <c r="HM13" s="319"/>
      <c r="HN13" s="319"/>
      <c r="HO13" s="319"/>
      <c r="HP13" s="319"/>
      <c r="HQ13" s="319"/>
      <c r="HR13" s="319"/>
      <c r="HS13" s="319"/>
      <c r="HT13" s="319"/>
      <c r="HU13" s="319"/>
      <c r="HV13" s="319"/>
      <c r="HW13" s="319"/>
      <c r="HX13" s="319"/>
      <c r="HY13" s="319"/>
      <c r="HZ13" s="319"/>
      <c r="IA13" s="319"/>
      <c r="IB13" s="319"/>
      <c r="IC13" s="319"/>
      <c r="ID13" s="319"/>
      <c r="IE13" s="319"/>
      <c r="IF13" s="319"/>
      <c r="IG13" s="319"/>
      <c r="IH13" s="319"/>
      <c r="II13" s="319"/>
      <c r="IJ13" s="319"/>
      <c r="IK13" s="319"/>
      <c r="IL13" s="319"/>
      <c r="IM13" s="319"/>
      <c r="IN13" s="319"/>
      <c r="IO13" s="319"/>
      <c r="IP13" s="319"/>
      <c r="IQ13" s="319"/>
      <c r="IR13" s="319"/>
      <c r="IS13" s="319"/>
      <c r="IT13" s="319"/>
      <c r="IU13" s="319"/>
      <c r="IV13" s="319"/>
      <c r="IW13" s="319"/>
      <c r="IX13" s="319"/>
      <c r="IY13" s="319"/>
      <c r="IZ13" s="319"/>
      <c r="JA13" s="319"/>
      <c r="JB13" s="319"/>
      <c r="JC13" s="319"/>
      <c r="JD13" s="319"/>
      <c r="JE13" s="319"/>
      <c r="JF13" s="319"/>
      <c r="JG13" s="319"/>
      <c r="JH13" s="319"/>
      <c r="JI13" s="319"/>
      <c r="JJ13" s="319"/>
      <c r="JK13" s="319"/>
      <c r="JL13" s="319"/>
      <c r="JM13" s="319"/>
      <c r="JN13" s="319"/>
      <c r="JO13" s="319"/>
      <c r="JP13" s="319"/>
      <c r="JQ13" s="319"/>
      <c r="JR13" s="319"/>
      <c r="JS13" s="319"/>
      <c r="JT13" s="319"/>
      <c r="JU13" s="319"/>
      <c r="JV13" s="319"/>
      <c r="JW13" s="319"/>
      <c r="JX13" s="319"/>
      <c r="JY13" s="319"/>
      <c r="JZ13" s="319"/>
      <c r="KA13" s="319"/>
      <c r="KB13" s="319"/>
      <c r="KC13" s="319"/>
      <c r="KD13" s="319"/>
      <c r="KE13" s="319"/>
      <c r="KF13" s="319"/>
      <c r="KG13" s="319"/>
      <c r="KH13" s="319"/>
      <c r="KI13" s="319"/>
      <c r="KJ13" s="319"/>
      <c r="KK13" s="319"/>
      <c r="KL13" s="319"/>
      <c r="KM13" s="319"/>
      <c r="KN13" s="319"/>
      <c r="KO13" s="319"/>
      <c r="KP13" s="319"/>
      <c r="KQ13" s="319"/>
      <c r="KR13" s="319"/>
      <c r="KS13" s="319"/>
      <c r="KT13" s="319"/>
      <c r="KU13" s="319"/>
      <c r="KV13" s="319"/>
      <c r="KW13" s="319"/>
      <c r="KX13" s="319"/>
      <c r="KY13" s="319"/>
      <c r="KZ13" s="319"/>
      <c r="LA13" s="319"/>
      <c r="LB13" s="319"/>
      <c r="LC13" s="319"/>
      <c r="LD13" s="319"/>
      <c r="LE13" s="319"/>
      <c r="LF13" s="319"/>
      <c r="LG13" s="319"/>
      <c r="LH13" s="319"/>
      <c r="LI13" s="319"/>
      <c r="LJ13" s="319"/>
      <c r="LK13" s="319"/>
      <c r="LL13" s="319"/>
      <c r="LM13" s="319"/>
      <c r="LN13" s="319"/>
      <c r="LO13" s="319"/>
      <c r="LP13" s="319"/>
      <c r="LQ13" s="319"/>
      <c r="LR13" s="319"/>
      <c r="LS13" s="319"/>
      <c r="LT13" s="319"/>
      <c r="LU13" s="319"/>
      <c r="LV13" s="319"/>
      <c r="LW13" s="319"/>
      <c r="LX13" s="319"/>
      <c r="LY13" s="319"/>
      <c r="LZ13" s="319"/>
      <c r="MA13" s="319"/>
      <c r="MB13" s="319"/>
      <c r="MC13" s="319"/>
      <c r="MD13" s="319"/>
      <c r="ME13" s="319"/>
      <c r="MF13" s="319"/>
      <c r="MG13" s="319"/>
      <c r="MH13" s="319"/>
      <c r="MI13" s="319"/>
      <c r="MJ13" s="319"/>
      <c r="MK13" s="319"/>
      <c r="ML13" s="319"/>
      <c r="MM13" s="319"/>
      <c r="MN13" s="319"/>
      <c r="MO13" s="319"/>
      <c r="MP13" s="319"/>
      <c r="MQ13" s="319"/>
      <c r="MR13" s="319"/>
      <c r="MS13" s="319"/>
      <c r="MT13" s="319"/>
      <c r="MU13" s="319"/>
      <c r="MV13" s="319"/>
      <c r="MW13" s="319"/>
      <c r="MX13" s="319"/>
      <c r="MY13" s="319"/>
      <c r="MZ13" s="319"/>
      <c r="NA13" s="319"/>
      <c r="NB13" s="319"/>
      <c r="NC13" s="319"/>
      <c r="ND13" s="319"/>
      <c r="NE13" s="319"/>
      <c r="NF13" s="319"/>
      <c r="NG13" s="319"/>
      <c r="NH13" s="319"/>
      <c r="NI13" s="319"/>
      <c r="NJ13" s="319"/>
      <c r="NK13" s="319"/>
      <c r="NL13" s="319"/>
      <c r="NM13" s="319"/>
      <c r="NN13" s="319"/>
      <c r="NO13" s="319"/>
      <c r="NP13" s="319"/>
      <c r="NQ13" s="319"/>
      <c r="NR13" s="319"/>
      <c r="NS13" s="319"/>
      <c r="NT13" s="319"/>
      <c r="NU13" s="319"/>
      <c r="NV13" s="319"/>
      <c r="NW13" s="319"/>
      <c r="NX13" s="319"/>
      <c r="NY13" s="319"/>
      <c r="NZ13" s="319"/>
      <c r="OA13" s="319"/>
      <c r="OB13" s="319"/>
      <c r="OC13" s="319"/>
      <c r="OD13" s="319"/>
      <c r="OE13" s="319"/>
      <c r="OF13" s="319"/>
      <c r="OG13" s="319"/>
      <c r="OH13" s="319"/>
      <c r="OI13" s="319"/>
      <c r="OJ13" s="319"/>
      <c r="OK13" s="319"/>
      <c r="OL13" s="319"/>
      <c r="OM13" s="319"/>
      <c r="ON13" s="319"/>
      <c r="OO13" s="319"/>
      <c r="OP13" s="319"/>
      <c r="OQ13" s="319"/>
      <c r="OR13" s="319"/>
      <c r="OS13" s="319"/>
      <c r="OT13" s="319"/>
      <c r="OU13" s="319"/>
      <c r="OV13" s="319"/>
      <c r="OW13" s="319"/>
      <c r="OX13" s="319"/>
      <c r="OY13" s="319"/>
      <c r="OZ13" s="319"/>
      <c r="PA13" s="319"/>
      <c r="PB13" s="319"/>
      <c r="PC13" s="319"/>
      <c r="PD13" s="319"/>
      <c r="PE13" s="319"/>
      <c r="PF13" s="319"/>
      <c r="PG13" s="319"/>
      <c r="PH13" s="319"/>
      <c r="PI13" s="319"/>
      <c r="PJ13" s="319"/>
      <c r="PK13" s="319"/>
      <c r="PL13" s="319"/>
      <c r="PM13" s="319"/>
      <c r="PN13" s="319"/>
      <c r="PO13" s="319"/>
      <c r="PP13" s="319"/>
      <c r="PQ13" s="319"/>
      <c r="PR13" s="319"/>
      <c r="PS13" s="319"/>
      <c r="PT13" s="319"/>
      <c r="PU13" s="319"/>
      <c r="PV13" s="319"/>
      <c r="PW13" s="319"/>
      <c r="PX13" s="319"/>
      <c r="PY13" s="319"/>
      <c r="PZ13" s="319"/>
      <c r="QA13" s="319"/>
      <c r="QB13" s="319"/>
      <c r="QC13" s="319"/>
      <c r="QD13" s="319"/>
      <c r="QE13" s="319"/>
      <c r="QF13" s="319"/>
      <c r="QG13" s="319"/>
      <c r="QH13" s="319"/>
      <c r="QI13" s="319"/>
      <c r="QJ13" s="319"/>
      <c r="QK13" s="319"/>
      <c r="QL13" s="319"/>
      <c r="QM13" s="319"/>
      <c r="QN13" s="319"/>
      <c r="QO13" s="319"/>
      <c r="QP13" s="319"/>
      <c r="QQ13" s="319"/>
      <c r="QR13" s="319"/>
      <c r="QS13" s="319"/>
      <c r="QT13" s="319"/>
      <c r="QU13" s="319"/>
      <c r="QV13" s="319"/>
      <c r="QW13" s="319"/>
      <c r="QX13" s="319"/>
      <c r="QY13" s="319"/>
      <c r="QZ13" s="319"/>
      <c r="RA13" s="319"/>
      <c r="RB13" s="319"/>
      <c r="RC13" s="319"/>
      <c r="RD13" s="319"/>
      <c r="RE13" s="319"/>
      <c r="RF13" s="319"/>
      <c r="RG13" s="319"/>
      <c r="RH13" s="319"/>
      <c r="RI13" s="319"/>
      <c r="RJ13" s="319"/>
      <c r="RK13" s="319"/>
      <c r="RL13" s="319"/>
      <c r="RM13" s="319"/>
      <c r="RN13" s="319"/>
      <c r="RO13" s="319"/>
      <c r="RP13" s="319"/>
      <c r="RQ13" s="319"/>
      <c r="RR13" s="319"/>
      <c r="RS13" s="319"/>
      <c r="RT13" s="319"/>
      <c r="RU13" s="319"/>
      <c r="RV13" s="319"/>
      <c r="RW13" s="319"/>
      <c r="RX13" s="319"/>
      <c r="RY13" s="319"/>
      <c r="RZ13" s="319"/>
      <c r="SA13" s="319"/>
      <c r="SB13" s="319"/>
      <c r="SC13" s="319"/>
      <c r="SD13" s="319"/>
      <c r="SE13" s="319"/>
      <c r="SF13" s="319"/>
      <c r="SG13" s="319"/>
      <c r="SH13" s="319"/>
      <c r="SI13" s="319"/>
      <c r="SJ13" s="319"/>
      <c r="SK13" s="319"/>
      <c r="SL13" s="319"/>
      <c r="SM13" s="319"/>
      <c r="SN13" s="319"/>
      <c r="SO13" s="319"/>
      <c r="SP13" s="319"/>
      <c r="SQ13" s="319"/>
      <c r="SR13" s="319"/>
      <c r="SS13" s="319"/>
      <c r="ST13" s="319"/>
      <c r="SU13" s="319"/>
      <c r="SV13" s="319"/>
      <c r="SW13" s="319"/>
      <c r="SX13" s="319"/>
      <c r="SY13" s="319"/>
      <c r="SZ13" s="319"/>
      <c r="TA13" s="319"/>
      <c r="TB13" s="319"/>
      <c r="TC13" s="319"/>
      <c r="TD13" s="319"/>
      <c r="TE13" s="319"/>
      <c r="TF13" s="319"/>
      <c r="TG13" s="319"/>
      <c r="TH13" s="319"/>
      <c r="TI13" s="319"/>
      <c r="TJ13" s="319"/>
      <c r="TK13" s="319"/>
      <c r="TL13" s="319"/>
      <c r="TM13" s="319"/>
      <c r="TN13" s="319"/>
      <c r="TO13" s="319"/>
      <c r="TP13" s="319"/>
      <c r="TQ13" s="319"/>
      <c r="TR13" s="319"/>
      <c r="TS13" s="319"/>
      <c r="TT13" s="319"/>
      <c r="TU13" s="319"/>
      <c r="TV13" s="319"/>
      <c r="TW13" s="319"/>
      <c r="TX13" s="319"/>
      <c r="TY13" s="319"/>
      <c r="TZ13" s="319"/>
      <c r="UA13" s="319"/>
      <c r="UB13" s="319"/>
      <c r="UC13" s="319"/>
      <c r="UD13" s="319"/>
      <c r="UE13" s="319"/>
      <c r="UF13" s="319"/>
      <c r="UG13" s="319"/>
      <c r="UH13" s="319"/>
      <c r="UI13" s="319"/>
      <c r="UJ13" s="319"/>
      <c r="UK13" s="319"/>
      <c r="UL13" s="319"/>
      <c r="UM13" s="319"/>
      <c r="UN13" s="319"/>
      <c r="UO13" s="319"/>
      <c r="UP13" s="319"/>
      <c r="UQ13" s="319"/>
      <c r="UR13" s="319"/>
      <c r="US13" s="319"/>
      <c r="UT13" s="319"/>
      <c r="UU13" s="319"/>
      <c r="UV13" s="319"/>
      <c r="UW13" s="319"/>
      <c r="UX13" s="319"/>
      <c r="UY13" s="319"/>
      <c r="UZ13" s="319"/>
      <c r="VA13" s="319"/>
      <c r="VB13" s="319"/>
      <c r="VC13" s="319"/>
      <c r="VD13" s="319"/>
      <c r="VE13" s="319"/>
      <c r="VF13" s="319"/>
      <c r="VG13" s="319"/>
      <c r="VH13" s="319"/>
      <c r="VI13" s="319"/>
      <c r="VJ13" s="319"/>
      <c r="VK13" s="319"/>
      <c r="VL13" s="319"/>
      <c r="VM13" s="319"/>
      <c r="VN13" s="319"/>
      <c r="VO13" s="319"/>
      <c r="VP13" s="319"/>
      <c r="VQ13" s="319"/>
      <c r="VR13" s="319"/>
      <c r="VS13" s="319"/>
      <c r="VT13" s="319"/>
      <c r="VU13" s="319"/>
      <c r="VV13" s="319"/>
      <c r="VW13" s="319"/>
      <c r="VX13" s="319"/>
      <c r="VY13" s="319"/>
      <c r="VZ13" s="319"/>
      <c r="WA13" s="319"/>
      <c r="WB13" s="319"/>
      <c r="WC13" s="319"/>
      <c r="WD13" s="319"/>
      <c r="WE13" s="319"/>
      <c r="WF13" s="319"/>
      <c r="WG13" s="319"/>
      <c r="WH13" s="319"/>
      <c r="WI13" s="319"/>
      <c r="WJ13" s="319"/>
      <c r="WK13" s="319"/>
      <c r="WL13" s="319"/>
      <c r="WM13" s="319"/>
      <c r="WN13" s="319"/>
      <c r="WO13" s="319"/>
      <c r="WP13" s="319"/>
      <c r="WQ13" s="319"/>
      <c r="WR13" s="319"/>
      <c r="WS13" s="319"/>
      <c r="WT13" s="319"/>
      <c r="WU13" s="319"/>
      <c r="WV13" s="319"/>
      <c r="WW13" s="319"/>
      <c r="WX13" s="319"/>
      <c r="WY13" s="319"/>
      <c r="WZ13" s="319"/>
      <c r="XA13" s="319"/>
      <c r="XB13" s="319"/>
      <c r="XC13" s="319"/>
      <c r="XD13" s="319"/>
      <c r="XE13" s="319"/>
      <c r="XF13" s="319"/>
      <c r="XG13" s="319"/>
      <c r="XH13" s="319"/>
      <c r="XI13" s="319"/>
      <c r="XJ13" s="319"/>
      <c r="XK13" s="319"/>
      <c r="XL13" s="319"/>
      <c r="XM13" s="319"/>
      <c r="XN13" s="319"/>
      <c r="XO13" s="319"/>
      <c r="XP13" s="319"/>
      <c r="XQ13" s="319"/>
      <c r="XR13" s="319"/>
      <c r="XS13" s="319"/>
      <c r="XT13" s="319"/>
      <c r="XU13" s="319"/>
      <c r="XV13" s="319"/>
      <c r="XW13" s="319"/>
      <c r="XX13" s="319"/>
      <c r="XY13" s="319"/>
      <c r="XZ13" s="319"/>
      <c r="YA13" s="319"/>
      <c r="YB13" s="319"/>
      <c r="YC13" s="319"/>
      <c r="YD13" s="319"/>
      <c r="YE13" s="319"/>
      <c r="YF13" s="319"/>
      <c r="YG13" s="319"/>
      <c r="YH13" s="319"/>
      <c r="YI13" s="319"/>
      <c r="YJ13" s="319"/>
      <c r="YK13" s="319"/>
      <c r="YL13" s="319"/>
      <c r="YM13" s="319"/>
      <c r="YN13" s="319"/>
      <c r="YO13" s="319"/>
      <c r="YP13" s="319"/>
      <c r="YQ13" s="319"/>
      <c r="YR13" s="319"/>
      <c r="YS13" s="319"/>
      <c r="YT13" s="319"/>
      <c r="YU13" s="319"/>
      <c r="YV13" s="319"/>
      <c r="YW13" s="319"/>
      <c r="YX13" s="319"/>
      <c r="YY13" s="319"/>
      <c r="YZ13" s="319"/>
      <c r="ZA13" s="319"/>
      <c r="ZB13" s="319"/>
      <c r="ZC13" s="319"/>
      <c r="ZD13" s="319"/>
      <c r="ZE13" s="319"/>
      <c r="ZF13" s="319"/>
      <c r="ZG13" s="319"/>
      <c r="ZH13" s="319"/>
      <c r="ZI13" s="319"/>
      <c r="ZJ13" s="319"/>
      <c r="ZK13" s="319"/>
      <c r="ZL13" s="319"/>
      <c r="ZM13" s="319"/>
      <c r="ZN13" s="319"/>
      <c r="ZO13" s="319"/>
      <c r="ZP13" s="319"/>
      <c r="ZQ13" s="319"/>
      <c r="ZR13" s="319"/>
      <c r="ZS13" s="319"/>
      <c r="ZT13" s="319"/>
      <c r="ZU13" s="319"/>
      <c r="ZV13" s="319"/>
      <c r="ZW13" s="319"/>
      <c r="ZX13" s="319"/>
      <c r="ZY13" s="319"/>
      <c r="ZZ13" s="319"/>
      <c r="AAA13" s="319"/>
      <c r="AAB13" s="319"/>
      <c r="AAC13" s="319"/>
      <c r="AAD13" s="319"/>
      <c r="AAE13" s="319"/>
      <c r="AAF13" s="319"/>
      <c r="AAG13" s="319"/>
      <c r="AAH13" s="319"/>
      <c r="AAI13" s="319"/>
      <c r="AAJ13" s="319"/>
      <c r="AAK13" s="319"/>
      <c r="AAL13" s="319"/>
      <c r="AAM13" s="319"/>
      <c r="AAN13" s="319"/>
      <c r="AAO13" s="319"/>
      <c r="AAP13" s="319"/>
      <c r="AAQ13" s="319"/>
      <c r="AAR13" s="319"/>
      <c r="AAS13" s="319"/>
      <c r="AAT13" s="319"/>
      <c r="AAU13" s="319"/>
      <c r="AAV13" s="319"/>
      <c r="AAW13" s="319"/>
      <c r="AAX13" s="319"/>
      <c r="AAY13" s="319"/>
      <c r="AAZ13" s="319"/>
      <c r="ABA13" s="319"/>
      <c r="ABB13" s="319"/>
      <c r="ABC13" s="319"/>
      <c r="ABD13" s="319"/>
      <c r="ABE13" s="319"/>
      <c r="ABF13" s="319"/>
      <c r="ABG13" s="319"/>
      <c r="ABH13" s="319"/>
      <c r="ABI13" s="319"/>
      <c r="ABJ13" s="319"/>
      <c r="ABK13" s="319"/>
      <c r="ABL13" s="319"/>
      <c r="ABM13" s="319"/>
      <c r="ABN13" s="319"/>
      <c r="ABO13" s="319"/>
      <c r="ABP13" s="319"/>
      <c r="ABQ13" s="319"/>
      <c r="ABR13" s="319"/>
      <c r="ABS13" s="319"/>
      <c r="ABT13" s="319"/>
      <c r="ABU13" s="319"/>
      <c r="ABV13" s="319"/>
      <c r="ABW13" s="319"/>
      <c r="ABX13" s="319"/>
      <c r="ABY13" s="319"/>
      <c r="ABZ13" s="319"/>
      <c r="ACA13" s="319"/>
      <c r="ACB13" s="319"/>
      <c r="ACC13" s="319"/>
      <c r="ACD13" s="319"/>
      <c r="ACE13" s="319"/>
      <c r="ACF13" s="319"/>
      <c r="ACG13" s="319"/>
      <c r="ACH13" s="319"/>
      <c r="ACI13" s="319"/>
      <c r="ACJ13" s="319"/>
      <c r="ACK13" s="319"/>
      <c r="ACL13" s="319"/>
      <c r="ACM13" s="319"/>
      <c r="ACN13" s="319"/>
      <c r="ACO13" s="319"/>
      <c r="ACP13" s="319"/>
      <c r="ACQ13" s="319"/>
      <c r="ACR13" s="319"/>
      <c r="ACS13" s="319"/>
      <c r="ACT13" s="319"/>
      <c r="ACU13" s="319"/>
      <c r="ACV13" s="319"/>
      <c r="ACW13" s="319"/>
      <c r="ACX13" s="319"/>
      <c r="ACY13" s="319"/>
      <c r="ACZ13" s="319"/>
      <c r="ADA13" s="319"/>
      <c r="ADB13" s="319"/>
      <c r="ADC13" s="319"/>
      <c r="ADD13" s="319"/>
      <c r="ADE13" s="319"/>
      <c r="ADF13" s="319"/>
      <c r="ADG13" s="319"/>
      <c r="ADH13" s="319"/>
      <c r="ADI13" s="319"/>
      <c r="ADJ13" s="319"/>
      <c r="ADK13" s="319"/>
      <c r="ADL13" s="319"/>
      <c r="ADM13" s="319"/>
      <c r="ADN13" s="319"/>
      <c r="ADO13" s="319"/>
      <c r="ADP13" s="319"/>
      <c r="ADQ13" s="319"/>
      <c r="ADR13" s="319"/>
      <c r="ADS13" s="319"/>
      <c r="ADT13" s="319"/>
      <c r="ADU13" s="319"/>
      <c r="ADV13" s="319"/>
      <c r="ADW13" s="319"/>
      <c r="ADX13" s="319"/>
      <c r="ADY13" s="319"/>
      <c r="ADZ13" s="319"/>
      <c r="AEA13" s="319"/>
      <c r="AEB13" s="319"/>
      <c r="AEC13" s="319"/>
      <c r="AED13" s="319"/>
      <c r="AEE13" s="319"/>
      <c r="AEF13" s="319"/>
      <c r="AEG13" s="319"/>
      <c r="AEH13" s="319"/>
      <c r="AEI13" s="319"/>
      <c r="AEJ13" s="319"/>
      <c r="AEK13" s="319"/>
      <c r="AEL13" s="319"/>
      <c r="AEM13" s="319"/>
      <c r="AEN13" s="319"/>
      <c r="AEO13" s="319"/>
      <c r="AEP13" s="319"/>
      <c r="AEQ13" s="319"/>
      <c r="AER13" s="319"/>
      <c r="AES13" s="319"/>
      <c r="AET13" s="319"/>
      <c r="AEU13" s="319"/>
      <c r="AEV13" s="319"/>
      <c r="AEW13" s="319"/>
      <c r="AEX13" s="319"/>
      <c r="AEY13" s="319"/>
      <c r="AEZ13" s="319"/>
      <c r="AFA13" s="319"/>
      <c r="AFB13" s="319"/>
      <c r="AFC13" s="319"/>
      <c r="AFD13" s="319"/>
      <c r="AFE13" s="319"/>
      <c r="AFF13" s="319"/>
      <c r="AFG13" s="319"/>
      <c r="AFH13" s="319"/>
      <c r="AFI13" s="319"/>
      <c r="AFJ13" s="319"/>
      <c r="AFK13" s="319"/>
      <c r="AFL13" s="319"/>
      <c r="AFM13" s="319"/>
      <c r="AFN13" s="319"/>
      <c r="AFO13" s="319"/>
      <c r="AFP13" s="319"/>
      <c r="AFQ13" s="319"/>
      <c r="AFR13" s="319"/>
      <c r="AFS13" s="319"/>
      <c r="AFT13" s="319"/>
      <c r="AFU13" s="319"/>
      <c r="AFV13" s="319"/>
      <c r="AFW13" s="319"/>
      <c r="AFX13" s="319"/>
      <c r="AFY13" s="319"/>
      <c r="AFZ13" s="319"/>
      <c r="AGA13" s="319"/>
      <c r="AGB13" s="319"/>
      <c r="AGC13" s="319"/>
      <c r="AGD13" s="319"/>
      <c r="AGE13" s="319"/>
      <c r="AGF13" s="319"/>
      <c r="AGG13" s="319"/>
      <c r="AGH13" s="319"/>
      <c r="AGI13" s="319"/>
      <c r="AGJ13" s="319"/>
      <c r="AGK13" s="319"/>
      <c r="AGL13" s="319"/>
      <c r="AGM13" s="319"/>
      <c r="AGN13" s="319"/>
      <c r="AGO13" s="319"/>
      <c r="AGP13" s="319"/>
      <c r="AGQ13" s="319"/>
      <c r="AGR13" s="319"/>
      <c r="AGS13" s="319"/>
      <c r="AGT13" s="319"/>
      <c r="AGU13" s="319"/>
      <c r="AGV13" s="319"/>
      <c r="AGW13" s="319"/>
      <c r="AGX13" s="319"/>
      <c r="AGY13" s="319"/>
      <c r="AGZ13" s="319"/>
      <c r="AHA13" s="319"/>
      <c r="AHB13" s="319"/>
      <c r="AHC13" s="319"/>
      <c r="AHD13" s="319"/>
      <c r="AHE13" s="319"/>
      <c r="AHF13" s="319"/>
      <c r="AHG13" s="319"/>
      <c r="AHH13" s="319"/>
      <c r="AHI13" s="319"/>
      <c r="AHJ13" s="319"/>
      <c r="AHK13" s="319"/>
      <c r="AHL13" s="319"/>
      <c r="AHM13" s="319"/>
      <c r="AHN13" s="319"/>
      <c r="AHO13" s="319"/>
      <c r="AHP13" s="319"/>
      <c r="AHQ13" s="319"/>
      <c r="AHR13" s="319"/>
      <c r="AHS13" s="319"/>
      <c r="AHT13" s="319"/>
      <c r="AHU13" s="319"/>
      <c r="AHV13" s="319"/>
      <c r="AHW13" s="319"/>
      <c r="AHX13" s="319"/>
      <c r="AHY13" s="319"/>
      <c r="AHZ13" s="319"/>
      <c r="AIA13" s="319"/>
      <c r="AIB13" s="319"/>
      <c r="AIC13" s="319"/>
      <c r="AID13" s="319"/>
      <c r="AIE13" s="319"/>
      <c r="AIF13" s="319"/>
      <c r="AIG13" s="319"/>
      <c r="AIH13" s="319"/>
      <c r="AII13" s="319"/>
      <c r="AIJ13" s="319"/>
      <c r="AIK13" s="319"/>
      <c r="AIL13" s="319"/>
      <c r="AIM13" s="319"/>
      <c r="AIN13" s="319"/>
      <c r="AIO13" s="319"/>
      <c r="AIP13" s="319"/>
      <c r="AIQ13" s="319"/>
      <c r="AIR13" s="319"/>
      <c r="AIS13" s="319"/>
      <c r="AIT13" s="319"/>
      <c r="AIU13" s="319"/>
      <c r="AIV13" s="319"/>
      <c r="AIW13" s="319"/>
      <c r="AIX13" s="319"/>
      <c r="AIY13" s="319"/>
      <c r="AIZ13" s="319"/>
      <c r="AJA13" s="319"/>
      <c r="AJB13" s="319"/>
      <c r="AJC13" s="319"/>
      <c r="AJD13" s="319"/>
      <c r="AJE13" s="319"/>
      <c r="AJF13" s="319"/>
      <c r="AJG13" s="319"/>
      <c r="AJH13" s="319"/>
      <c r="AJI13" s="319"/>
      <c r="AJJ13" s="319"/>
      <c r="AJK13" s="319"/>
      <c r="AJL13" s="319"/>
      <c r="AJM13" s="319"/>
      <c r="AJN13" s="319"/>
      <c r="AJO13" s="319"/>
      <c r="AJP13" s="319"/>
      <c r="AJQ13" s="319"/>
      <c r="AJR13" s="319"/>
      <c r="AJS13" s="319"/>
      <c r="AJT13" s="319"/>
      <c r="AJU13" s="319"/>
      <c r="AJV13" s="319"/>
      <c r="AJW13" s="319"/>
      <c r="AJX13" s="319"/>
      <c r="AJY13" s="319"/>
      <c r="AJZ13" s="319"/>
      <c r="AKA13" s="319"/>
      <c r="AKB13" s="319"/>
      <c r="AKC13" s="319"/>
      <c r="AKD13" s="319"/>
      <c r="AKE13" s="319"/>
      <c r="AKF13" s="319"/>
      <c r="AKG13" s="319"/>
      <c r="AKH13" s="319"/>
      <c r="AKI13" s="319"/>
      <c r="AKJ13" s="319"/>
      <c r="AKK13" s="319"/>
      <c r="AKL13" s="319"/>
      <c r="AKM13" s="319"/>
      <c r="AKN13" s="319"/>
      <c r="AKO13" s="319"/>
      <c r="AKP13" s="319"/>
      <c r="AKQ13" s="319"/>
      <c r="AKR13" s="319"/>
      <c r="AKS13" s="319"/>
      <c r="AKT13" s="319"/>
      <c r="AKU13" s="319"/>
      <c r="AKV13" s="319"/>
      <c r="AKW13" s="319"/>
      <c r="AKX13" s="319"/>
      <c r="AKY13" s="319"/>
      <c r="AKZ13" s="319"/>
      <c r="ALA13" s="319"/>
      <c r="ALB13" s="319"/>
      <c r="ALC13" s="319"/>
      <c r="ALD13" s="319"/>
      <c r="ALE13" s="319"/>
      <c r="ALF13" s="319"/>
      <c r="ALG13" s="319"/>
      <c r="ALH13" s="319"/>
      <c r="ALI13" s="319"/>
      <c r="ALJ13" s="319"/>
      <c r="ALK13" s="319"/>
      <c r="ALL13" s="319"/>
      <c r="ALM13" s="319"/>
      <c r="ALN13" s="319"/>
      <c r="ALO13" s="319"/>
      <c r="ALP13" s="319"/>
      <c r="ALQ13" s="319"/>
      <c r="ALR13" s="319"/>
      <c r="ALS13" s="319"/>
      <c r="ALT13" s="319"/>
      <c r="ALU13" s="319"/>
      <c r="ALV13" s="319"/>
      <c r="ALW13" s="319"/>
      <c r="ALX13" s="319"/>
      <c r="ALY13" s="319"/>
      <c r="ALZ13" s="319"/>
      <c r="AMA13" s="319"/>
      <c r="AMB13" s="319"/>
      <c r="AMC13" s="319"/>
      <c r="AMD13" s="319"/>
      <c r="AME13" s="319"/>
      <c r="AMF13" s="319"/>
      <c r="AMG13" s="319"/>
      <c r="AMH13" s="319"/>
      <c r="AMI13" s="319"/>
      <c r="AMJ13" s="319"/>
      <c r="AMK13" s="319"/>
      <c r="AML13" s="319"/>
      <c r="AMM13" s="319"/>
      <c r="AMN13" s="319"/>
      <c r="AMO13" s="319"/>
      <c r="AMP13" s="319"/>
      <c r="AMQ13" s="319"/>
      <c r="AMR13" s="319"/>
      <c r="AMS13" s="319"/>
      <c r="AMT13" s="319"/>
      <c r="AMU13" s="319"/>
      <c r="AMV13" s="319"/>
      <c r="AMW13" s="319"/>
      <c r="AMX13" s="319"/>
      <c r="AMY13" s="319"/>
      <c r="AMZ13" s="319"/>
      <c r="ANA13" s="319"/>
      <c r="ANB13" s="319"/>
      <c r="ANC13" s="319"/>
      <c r="AND13" s="319"/>
      <c r="ANE13" s="319"/>
      <c r="ANF13" s="319"/>
      <c r="ANG13" s="319"/>
      <c r="ANH13" s="319"/>
      <c r="ANI13" s="319"/>
      <c r="ANJ13" s="319"/>
      <c r="ANK13" s="319"/>
      <c r="ANL13" s="319"/>
      <c r="ANM13" s="319"/>
      <c r="ANN13" s="319"/>
      <c r="ANO13" s="319"/>
      <c r="ANP13" s="319"/>
      <c r="ANQ13" s="319"/>
      <c r="ANR13" s="319"/>
      <c r="ANS13" s="319"/>
      <c r="ANT13" s="319"/>
      <c r="ANU13" s="319"/>
      <c r="ANV13" s="319"/>
      <c r="ANW13" s="319"/>
      <c r="ANX13" s="319"/>
      <c r="ANY13" s="319"/>
      <c r="ANZ13" s="319"/>
      <c r="AOA13" s="319"/>
      <c r="AOB13" s="319"/>
      <c r="AOC13" s="319"/>
      <c r="AOD13" s="319"/>
      <c r="AOE13" s="319"/>
      <c r="AOF13" s="319"/>
      <c r="AOG13" s="319"/>
      <c r="AOH13" s="319"/>
      <c r="AOI13" s="319"/>
      <c r="AOJ13" s="319"/>
      <c r="AOK13" s="319"/>
      <c r="AOL13" s="319"/>
      <c r="AOM13" s="319"/>
      <c r="AON13" s="319"/>
      <c r="AOO13" s="319"/>
      <c r="AOP13" s="319"/>
      <c r="AOQ13" s="319"/>
      <c r="AOR13" s="319"/>
      <c r="AOS13" s="319"/>
      <c r="AOT13" s="319"/>
      <c r="AOU13" s="319"/>
      <c r="AOV13" s="319"/>
      <c r="AOW13" s="319"/>
      <c r="AOX13" s="319"/>
      <c r="AOY13" s="319"/>
      <c r="AOZ13" s="319"/>
      <c r="APA13" s="319"/>
      <c r="APB13" s="319"/>
      <c r="APC13" s="319"/>
      <c r="APD13" s="319"/>
      <c r="APE13" s="319"/>
      <c r="APF13" s="319"/>
      <c r="APG13" s="319"/>
      <c r="APH13" s="319"/>
      <c r="API13" s="319"/>
      <c r="APJ13" s="319"/>
      <c r="APK13" s="319"/>
      <c r="APL13" s="319"/>
      <c r="APM13" s="319"/>
      <c r="APN13" s="319"/>
      <c r="APO13" s="319"/>
      <c r="APP13" s="319"/>
      <c r="APQ13" s="319"/>
      <c r="APR13" s="319"/>
      <c r="APS13" s="319"/>
      <c r="APT13" s="319"/>
      <c r="APU13" s="319"/>
      <c r="APV13" s="319"/>
      <c r="APW13" s="319"/>
      <c r="APX13" s="319"/>
      <c r="APY13" s="319"/>
      <c r="APZ13" s="319"/>
      <c r="AQA13" s="319"/>
      <c r="AQB13" s="319"/>
      <c r="AQC13" s="319"/>
      <c r="AQD13" s="319"/>
      <c r="AQE13" s="319"/>
      <c r="AQF13" s="319"/>
      <c r="AQG13" s="319"/>
      <c r="AQH13" s="319"/>
      <c r="AQI13" s="319"/>
      <c r="AQJ13" s="319"/>
      <c r="AQK13" s="319"/>
      <c r="AQL13" s="319"/>
      <c r="AQM13" s="319"/>
      <c r="AQN13" s="319"/>
      <c r="AQO13" s="319"/>
      <c r="AQP13" s="319"/>
      <c r="AQQ13" s="319"/>
      <c r="AQR13" s="319"/>
      <c r="AQS13" s="319"/>
      <c r="AQT13" s="319"/>
      <c r="AQU13" s="319"/>
      <c r="AQV13" s="319"/>
      <c r="AQW13" s="319"/>
      <c r="AQX13" s="319"/>
      <c r="AQY13" s="319"/>
      <c r="AQZ13" s="319"/>
      <c r="ARA13" s="319"/>
      <c r="ARB13" s="319"/>
      <c r="ARC13" s="319"/>
      <c r="ARD13" s="319"/>
      <c r="ARE13" s="319"/>
      <c r="ARF13" s="319"/>
      <c r="ARG13" s="319"/>
      <c r="ARH13" s="319"/>
      <c r="ARI13" s="319"/>
      <c r="ARJ13" s="319"/>
      <c r="ARK13" s="319"/>
      <c r="ARL13" s="319"/>
      <c r="ARM13" s="319"/>
      <c r="ARN13" s="319"/>
      <c r="ARO13" s="319"/>
      <c r="ARP13" s="319"/>
      <c r="ARQ13" s="319"/>
      <c r="ARR13" s="319"/>
      <c r="ARS13" s="319"/>
      <c r="ART13" s="319"/>
      <c r="ARU13" s="319"/>
      <c r="ARV13" s="319"/>
      <c r="ARW13" s="319"/>
      <c r="ARX13" s="319"/>
      <c r="ARY13" s="319"/>
      <c r="ARZ13" s="319"/>
      <c r="ASA13" s="319"/>
      <c r="ASB13" s="319"/>
      <c r="ASC13" s="319"/>
      <c r="ASD13" s="319"/>
      <c r="ASE13" s="319"/>
      <c r="ASF13" s="319"/>
      <c r="ASG13" s="319"/>
      <c r="ASH13" s="319"/>
      <c r="ASI13" s="319"/>
      <c r="ASJ13" s="319"/>
      <c r="ASK13" s="319"/>
      <c r="ASL13" s="319"/>
      <c r="ASM13" s="319"/>
      <c r="ASN13" s="319"/>
      <c r="ASO13" s="319"/>
      <c r="ASP13" s="319"/>
      <c r="ASQ13" s="319"/>
      <c r="ASR13" s="319"/>
      <c r="ASS13" s="319"/>
      <c r="AST13" s="319"/>
      <c r="ASU13" s="319"/>
      <c r="ASV13" s="319"/>
      <c r="ASW13" s="319"/>
      <c r="ASX13" s="319"/>
      <c r="ASY13" s="319"/>
      <c r="ASZ13" s="319"/>
      <c r="ATA13" s="319"/>
      <c r="ATB13" s="319"/>
      <c r="ATC13" s="319"/>
      <c r="ATD13" s="319"/>
      <c r="ATE13" s="319"/>
      <c r="ATF13" s="319"/>
      <c r="ATG13" s="319"/>
      <c r="ATH13" s="319"/>
      <c r="ATI13" s="319"/>
      <c r="ATJ13" s="319"/>
      <c r="ATK13" s="319"/>
      <c r="ATL13" s="319"/>
      <c r="ATM13" s="319"/>
      <c r="ATN13" s="319"/>
      <c r="ATO13" s="319"/>
      <c r="ATP13" s="319"/>
      <c r="ATQ13" s="319"/>
      <c r="ATR13" s="319"/>
      <c r="ATS13" s="319"/>
      <c r="ATT13" s="319"/>
      <c r="ATU13" s="319"/>
      <c r="ATV13" s="319"/>
      <c r="ATW13" s="319"/>
      <c r="ATX13" s="319"/>
      <c r="ATY13" s="319"/>
      <c r="ATZ13" s="319"/>
      <c r="AUA13" s="319"/>
      <c r="AUB13" s="319"/>
      <c r="AUC13" s="319"/>
      <c r="AUD13" s="319"/>
      <c r="AUE13" s="319"/>
      <c r="AUF13" s="319"/>
      <c r="AUG13" s="319"/>
      <c r="AUH13" s="319"/>
      <c r="AUI13" s="319"/>
      <c r="AUJ13" s="319"/>
      <c r="AUK13" s="319"/>
      <c r="AUL13" s="319"/>
      <c r="AUM13" s="319"/>
      <c r="AUN13" s="319"/>
      <c r="AUO13" s="319"/>
      <c r="AUP13" s="319"/>
      <c r="AUQ13" s="319"/>
      <c r="AUR13" s="319"/>
      <c r="AUS13" s="319"/>
      <c r="AUT13" s="319"/>
      <c r="AUU13" s="319"/>
      <c r="AUV13" s="319"/>
      <c r="AUW13" s="319"/>
      <c r="AUX13" s="319"/>
      <c r="AUY13" s="319"/>
      <c r="AUZ13" s="319"/>
      <c r="AVA13" s="319"/>
      <c r="AVB13" s="319"/>
      <c r="AVC13" s="319"/>
      <c r="AVD13" s="319"/>
      <c r="AVE13" s="319"/>
      <c r="AVF13" s="319"/>
      <c r="AVG13" s="319"/>
      <c r="AVH13" s="319"/>
      <c r="AVI13" s="319"/>
      <c r="AVJ13" s="319"/>
      <c r="AVK13" s="319"/>
      <c r="AVL13" s="319"/>
      <c r="AVM13" s="319"/>
      <c r="AVN13" s="319"/>
      <c r="AVO13" s="319"/>
      <c r="AVP13" s="319"/>
      <c r="AVQ13" s="319"/>
      <c r="AVR13" s="319"/>
      <c r="AVS13" s="319"/>
      <c r="AVT13" s="319"/>
      <c r="AVU13" s="319"/>
      <c r="AVV13" s="319"/>
      <c r="AVW13" s="319"/>
      <c r="AVX13" s="319"/>
      <c r="AVY13" s="319"/>
      <c r="AVZ13" s="319"/>
      <c r="AWA13" s="319"/>
      <c r="AWB13" s="319"/>
      <c r="AWC13" s="319"/>
      <c r="AWD13" s="319"/>
      <c r="AWE13" s="319"/>
      <c r="AWF13" s="319"/>
      <c r="AWG13" s="319"/>
      <c r="AWH13" s="319"/>
      <c r="AWI13" s="319"/>
      <c r="AWJ13" s="319"/>
      <c r="AWK13" s="319"/>
      <c r="AWL13" s="319"/>
      <c r="AWM13" s="319"/>
      <c r="AWN13" s="319"/>
      <c r="AWO13" s="319"/>
      <c r="AWP13" s="319"/>
      <c r="AWQ13" s="319"/>
      <c r="AWR13" s="319"/>
      <c r="AWS13" s="319"/>
      <c r="AWT13" s="319"/>
      <c r="AWU13" s="319"/>
      <c r="AWV13" s="319"/>
      <c r="AWW13" s="319"/>
      <c r="AWX13" s="319"/>
      <c r="AWY13" s="319"/>
      <c r="AWZ13" s="319"/>
      <c r="AXA13" s="319"/>
      <c r="AXB13" s="319"/>
      <c r="AXC13" s="319"/>
      <c r="AXD13" s="319"/>
      <c r="AXE13" s="319"/>
      <c r="AXF13" s="319"/>
      <c r="AXG13" s="319"/>
      <c r="AXH13" s="319"/>
      <c r="AXI13" s="319"/>
      <c r="AXJ13" s="319"/>
      <c r="AXK13" s="319"/>
      <c r="AXL13" s="319"/>
      <c r="AXM13" s="319"/>
      <c r="AXN13" s="319"/>
      <c r="AXO13" s="319"/>
      <c r="AXP13" s="319"/>
      <c r="AXQ13" s="319"/>
      <c r="AXR13" s="319"/>
      <c r="AXS13" s="319"/>
      <c r="AXT13" s="319"/>
      <c r="AXU13" s="319"/>
      <c r="AXV13" s="319"/>
      <c r="AXW13" s="319"/>
      <c r="AXX13" s="319"/>
      <c r="AXY13" s="319"/>
      <c r="AXZ13" s="319"/>
      <c r="AYA13" s="319"/>
      <c r="AYB13" s="319"/>
      <c r="AYC13" s="319"/>
      <c r="AYD13" s="319"/>
      <c r="AYE13" s="319"/>
      <c r="AYF13" s="319"/>
      <c r="AYG13" s="319"/>
      <c r="AYH13" s="319"/>
      <c r="AYI13" s="319"/>
      <c r="AYJ13" s="319"/>
      <c r="AYK13" s="319"/>
      <c r="AYL13" s="319"/>
      <c r="AYM13" s="319"/>
      <c r="AYN13" s="319"/>
      <c r="AYO13" s="319"/>
      <c r="AYP13" s="319"/>
      <c r="AYQ13" s="319"/>
      <c r="AYR13" s="319"/>
      <c r="AYS13" s="319"/>
      <c r="AYT13" s="319"/>
      <c r="AYU13" s="319"/>
      <c r="AYV13" s="319"/>
      <c r="AYW13" s="319"/>
      <c r="AYX13" s="319"/>
      <c r="AYY13" s="319"/>
      <c r="AYZ13" s="319"/>
      <c r="AZA13" s="319"/>
      <c r="AZB13" s="319"/>
      <c r="AZC13" s="319"/>
      <c r="AZD13" s="319"/>
      <c r="AZE13" s="319"/>
      <c r="AZF13" s="319"/>
      <c r="AZG13" s="319"/>
      <c r="AZH13" s="319"/>
      <c r="AZI13" s="319"/>
      <c r="AZJ13" s="319"/>
      <c r="AZK13" s="319"/>
      <c r="AZL13" s="319"/>
      <c r="AZM13" s="319"/>
      <c r="AZN13" s="319"/>
      <c r="AZO13" s="319"/>
      <c r="AZP13" s="319"/>
      <c r="AZQ13" s="319"/>
      <c r="AZR13" s="319"/>
      <c r="AZS13" s="319"/>
      <c r="AZT13" s="319"/>
      <c r="AZU13" s="319"/>
      <c r="AZV13" s="319"/>
      <c r="AZW13" s="319"/>
      <c r="AZX13" s="319"/>
      <c r="AZY13" s="319"/>
      <c r="AZZ13" s="319"/>
      <c r="BAA13" s="319"/>
      <c r="BAB13" s="319"/>
      <c r="BAC13" s="319"/>
      <c r="BAD13" s="319"/>
      <c r="BAE13" s="319"/>
      <c r="BAF13" s="319"/>
      <c r="BAG13" s="319"/>
      <c r="BAH13" s="319"/>
      <c r="BAI13" s="319"/>
      <c r="BAJ13" s="319"/>
      <c r="BAK13" s="319"/>
      <c r="BAL13" s="319"/>
      <c r="BAM13" s="319"/>
      <c r="BAN13" s="319"/>
      <c r="BAO13" s="319"/>
      <c r="BAP13" s="319"/>
      <c r="BAQ13" s="319"/>
      <c r="BAR13" s="319"/>
      <c r="BAS13" s="319"/>
      <c r="BAT13" s="319"/>
      <c r="BAU13" s="319"/>
      <c r="BAV13" s="319"/>
      <c r="BAW13" s="319"/>
      <c r="BAX13" s="319"/>
      <c r="BAY13" s="319"/>
      <c r="BAZ13" s="319"/>
      <c r="BBA13" s="319"/>
      <c r="BBB13" s="319"/>
      <c r="BBC13" s="319"/>
      <c r="BBD13" s="319"/>
      <c r="BBE13" s="319"/>
      <c r="BBF13" s="319"/>
      <c r="BBG13" s="319"/>
      <c r="BBH13" s="319"/>
      <c r="BBI13" s="319"/>
      <c r="BBJ13" s="319"/>
      <c r="BBK13" s="319"/>
      <c r="BBL13" s="319"/>
      <c r="BBM13" s="319"/>
      <c r="BBN13" s="319"/>
      <c r="BBO13" s="319"/>
      <c r="BBP13" s="319"/>
      <c r="BBQ13" s="319"/>
      <c r="BBR13" s="319"/>
      <c r="BBS13" s="319"/>
      <c r="BBT13" s="319"/>
      <c r="BBU13" s="319"/>
      <c r="BBV13" s="319"/>
      <c r="BBW13" s="319"/>
      <c r="BBX13" s="319"/>
      <c r="BBY13" s="319"/>
      <c r="BBZ13" s="319"/>
      <c r="BCA13" s="319"/>
      <c r="BCB13" s="319"/>
      <c r="BCC13" s="319"/>
      <c r="BCD13" s="319"/>
      <c r="BCE13" s="319"/>
      <c r="BCF13" s="319"/>
      <c r="BCG13" s="319"/>
      <c r="BCH13" s="319"/>
      <c r="BCI13" s="319"/>
      <c r="BCJ13" s="319"/>
      <c r="BCK13" s="319"/>
      <c r="BCL13" s="319"/>
      <c r="BCM13" s="319"/>
      <c r="BCN13" s="319"/>
      <c r="BCO13" s="319"/>
      <c r="BCP13" s="319"/>
      <c r="BCQ13" s="319"/>
      <c r="BCR13" s="319"/>
      <c r="BCS13" s="319"/>
      <c r="BCT13" s="319"/>
      <c r="BCU13" s="319"/>
      <c r="BCV13" s="319"/>
      <c r="BCW13" s="319"/>
      <c r="BCX13" s="319"/>
      <c r="BCY13" s="319"/>
      <c r="BCZ13" s="319"/>
      <c r="BDA13" s="319"/>
      <c r="BDB13" s="319"/>
      <c r="BDC13" s="319"/>
      <c r="BDD13" s="319"/>
      <c r="BDE13" s="319"/>
      <c r="BDF13" s="319"/>
      <c r="BDG13" s="319"/>
      <c r="BDH13" s="319"/>
      <c r="BDI13" s="319"/>
      <c r="BDJ13" s="319"/>
      <c r="BDK13" s="319"/>
      <c r="BDL13" s="319"/>
      <c r="BDM13" s="319"/>
      <c r="BDN13" s="319"/>
      <c r="BDO13" s="319"/>
      <c r="BDP13" s="319"/>
      <c r="BDQ13" s="319"/>
      <c r="BDR13" s="319"/>
      <c r="BDS13" s="319"/>
      <c r="BDT13" s="319"/>
      <c r="BDU13" s="319"/>
      <c r="BDV13" s="319"/>
      <c r="BDW13" s="319"/>
      <c r="BDX13" s="319"/>
      <c r="BDY13" s="319"/>
      <c r="BDZ13" s="319"/>
      <c r="BEA13" s="319"/>
      <c r="BEB13" s="319"/>
      <c r="BEC13" s="319"/>
      <c r="BED13" s="319"/>
      <c r="BEE13" s="319"/>
      <c r="BEF13" s="319"/>
      <c r="BEG13" s="319"/>
      <c r="BEH13" s="319"/>
      <c r="BEI13" s="319"/>
      <c r="BEJ13" s="319"/>
      <c r="BEK13" s="319"/>
      <c r="BEL13" s="319"/>
      <c r="BEM13" s="319"/>
      <c r="BEN13" s="319"/>
      <c r="BEO13" s="319"/>
      <c r="BEP13" s="319"/>
      <c r="BEQ13" s="319"/>
      <c r="BER13" s="319"/>
      <c r="BES13" s="319"/>
      <c r="BET13" s="319"/>
      <c r="BEU13" s="319"/>
      <c r="BEV13" s="319"/>
      <c r="BEW13" s="319"/>
      <c r="BEX13" s="319"/>
      <c r="BEY13" s="319"/>
      <c r="BEZ13" s="319"/>
      <c r="BFA13" s="319"/>
      <c r="BFB13" s="319"/>
      <c r="BFC13" s="319"/>
      <c r="BFD13" s="319"/>
      <c r="BFE13" s="319"/>
      <c r="BFF13" s="319"/>
      <c r="BFG13" s="319"/>
      <c r="BFH13" s="319"/>
      <c r="BFI13" s="319"/>
      <c r="BFJ13" s="319"/>
      <c r="BFK13" s="319"/>
      <c r="BFL13" s="319"/>
      <c r="BFM13" s="319"/>
      <c r="BFN13" s="319"/>
      <c r="BFO13" s="319"/>
      <c r="BFP13" s="319"/>
      <c r="BFQ13" s="319"/>
      <c r="BFR13" s="319"/>
      <c r="BFS13" s="319"/>
      <c r="BFT13" s="319"/>
      <c r="BFU13" s="319"/>
      <c r="BFV13" s="319"/>
      <c r="BFW13" s="319"/>
      <c r="BFX13" s="319"/>
      <c r="BFY13" s="319"/>
      <c r="BFZ13" s="319"/>
      <c r="BGA13" s="319"/>
      <c r="BGB13" s="319"/>
      <c r="BGC13" s="319"/>
      <c r="BGD13" s="319"/>
      <c r="BGE13" s="319"/>
      <c r="BGF13" s="319"/>
      <c r="BGG13" s="319"/>
      <c r="BGH13" s="319"/>
      <c r="BGI13" s="319"/>
      <c r="BGJ13" s="319"/>
      <c r="BGK13" s="319"/>
      <c r="BGL13" s="319"/>
      <c r="BGM13" s="319"/>
      <c r="BGN13" s="319"/>
      <c r="BGO13" s="319"/>
      <c r="BGP13" s="319"/>
      <c r="BGQ13" s="319"/>
      <c r="BGR13" s="319"/>
      <c r="BGS13" s="319"/>
      <c r="BGT13" s="319"/>
      <c r="BGU13" s="319"/>
      <c r="BGV13" s="319"/>
      <c r="BGW13" s="319"/>
      <c r="BGX13" s="319"/>
      <c r="BGY13" s="319"/>
      <c r="BGZ13" s="319"/>
      <c r="BHA13" s="319"/>
      <c r="BHB13" s="319"/>
      <c r="BHC13" s="319"/>
      <c r="BHD13" s="319"/>
      <c r="BHE13" s="319"/>
      <c r="BHF13" s="319"/>
      <c r="BHG13" s="319"/>
      <c r="BHH13" s="319"/>
      <c r="BHI13" s="319"/>
      <c r="BHJ13" s="319"/>
      <c r="BHK13" s="319"/>
      <c r="BHL13" s="319"/>
      <c r="BHM13" s="319"/>
      <c r="BHN13" s="319"/>
      <c r="BHO13" s="319"/>
      <c r="BHP13" s="319"/>
      <c r="BHQ13" s="319"/>
      <c r="BHR13" s="319"/>
      <c r="BHS13" s="319"/>
      <c r="BHT13" s="319"/>
      <c r="BHU13" s="319"/>
      <c r="BHV13" s="319"/>
      <c r="BHW13" s="319"/>
      <c r="BHX13" s="319"/>
      <c r="BHY13" s="319"/>
      <c r="BHZ13" s="319"/>
      <c r="BIA13" s="319"/>
      <c r="BIB13" s="319"/>
      <c r="BIC13" s="319"/>
      <c r="BID13" s="319"/>
      <c r="BIE13" s="319"/>
      <c r="BIF13" s="319"/>
      <c r="BIG13" s="319"/>
      <c r="BIH13" s="319"/>
      <c r="BII13" s="319"/>
      <c r="BIJ13" s="319"/>
      <c r="BIK13" s="319"/>
      <c r="BIL13" s="319"/>
      <c r="BIM13" s="319"/>
      <c r="BIN13" s="319"/>
      <c r="BIO13" s="319"/>
      <c r="BIP13" s="319"/>
      <c r="BIQ13" s="319"/>
      <c r="BIR13" s="319"/>
      <c r="BIS13" s="319"/>
      <c r="BIT13" s="319"/>
      <c r="BIU13" s="319"/>
      <c r="BIV13" s="319"/>
      <c r="BIW13" s="319"/>
      <c r="BIX13" s="319"/>
      <c r="BIY13" s="319"/>
      <c r="BIZ13" s="319"/>
      <c r="BJA13" s="319"/>
      <c r="BJB13" s="319"/>
      <c r="BJC13" s="319"/>
      <c r="BJD13" s="319"/>
      <c r="BJE13" s="319"/>
      <c r="BJF13" s="319"/>
      <c r="BJG13" s="319"/>
      <c r="BJH13" s="319"/>
      <c r="BJI13" s="319"/>
      <c r="BJJ13" s="319"/>
      <c r="BJK13" s="319"/>
      <c r="BJL13" s="319"/>
      <c r="BJM13" s="319"/>
      <c r="BJN13" s="319"/>
      <c r="BJO13" s="319"/>
      <c r="BJP13" s="319"/>
      <c r="BJQ13" s="319"/>
      <c r="BJR13" s="319"/>
      <c r="BJS13" s="319"/>
      <c r="BJT13" s="319"/>
      <c r="BJU13" s="319"/>
      <c r="BJV13" s="319"/>
      <c r="BJW13" s="319"/>
      <c r="BJX13" s="319"/>
      <c r="BJY13" s="319"/>
      <c r="BJZ13" s="319"/>
      <c r="BKA13" s="319"/>
      <c r="BKB13" s="319"/>
      <c r="BKC13" s="319"/>
      <c r="BKD13" s="319"/>
      <c r="BKE13" s="319"/>
      <c r="BKF13" s="319"/>
      <c r="BKG13" s="319"/>
      <c r="BKH13" s="319"/>
      <c r="BKI13" s="319"/>
      <c r="BKJ13" s="319"/>
      <c r="BKK13" s="319"/>
      <c r="BKL13" s="319"/>
      <c r="BKM13" s="319"/>
      <c r="BKN13" s="319"/>
      <c r="BKO13" s="319"/>
      <c r="BKP13" s="319"/>
      <c r="BKQ13" s="319"/>
      <c r="BKR13" s="319"/>
      <c r="BKS13" s="319"/>
      <c r="BKT13" s="319"/>
      <c r="BKU13" s="319"/>
      <c r="BKV13" s="319"/>
      <c r="BKW13" s="319"/>
      <c r="BKX13" s="319"/>
      <c r="BKY13" s="319"/>
      <c r="BKZ13" s="319"/>
      <c r="BLA13" s="319"/>
      <c r="BLB13" s="319"/>
      <c r="BLC13" s="319"/>
      <c r="BLD13" s="319"/>
      <c r="BLE13" s="319"/>
      <c r="BLF13" s="319"/>
      <c r="BLG13" s="319"/>
      <c r="BLH13" s="319"/>
      <c r="BLI13" s="319"/>
      <c r="BLJ13" s="319"/>
      <c r="BLK13" s="319"/>
      <c r="BLL13" s="319"/>
      <c r="BLM13" s="319"/>
      <c r="BLN13" s="319"/>
      <c r="BLO13" s="319"/>
      <c r="BLP13" s="319"/>
      <c r="BLQ13" s="319"/>
      <c r="BLR13" s="319"/>
      <c r="BLS13" s="319"/>
      <c r="BLT13" s="319"/>
      <c r="BLU13" s="319"/>
      <c r="BLV13" s="319"/>
      <c r="BLW13" s="319"/>
      <c r="BLX13" s="319"/>
      <c r="BLY13" s="319"/>
      <c r="BLZ13" s="319"/>
      <c r="BMA13" s="319"/>
      <c r="BMB13" s="319"/>
      <c r="BMC13" s="319"/>
      <c r="BMD13" s="319"/>
      <c r="BME13" s="319"/>
      <c r="BMF13" s="319"/>
      <c r="BMG13" s="319"/>
      <c r="BMH13" s="319"/>
      <c r="BMI13" s="319"/>
      <c r="BMJ13" s="319"/>
      <c r="BMK13" s="319"/>
      <c r="BML13" s="319"/>
      <c r="BMM13" s="319"/>
      <c r="BMN13" s="319"/>
      <c r="BMO13" s="319"/>
      <c r="BMP13" s="319"/>
      <c r="BMQ13" s="319"/>
      <c r="BMR13" s="319"/>
      <c r="BMS13" s="319"/>
      <c r="BMT13" s="319"/>
      <c r="BMU13" s="319"/>
      <c r="BMV13" s="319"/>
      <c r="BMW13" s="319"/>
      <c r="BMX13" s="319"/>
      <c r="BMY13" s="319"/>
      <c r="BMZ13" s="319"/>
      <c r="BNA13" s="319"/>
      <c r="BNB13" s="319"/>
      <c r="BNC13" s="319"/>
      <c r="BND13" s="319"/>
      <c r="BNE13" s="319"/>
      <c r="BNF13" s="319"/>
      <c r="BNG13" s="319"/>
      <c r="BNH13" s="319"/>
      <c r="BNI13" s="319"/>
      <c r="BNJ13" s="319"/>
      <c r="BNK13" s="319"/>
      <c r="BNL13" s="319"/>
      <c r="BNM13" s="319"/>
      <c r="BNN13" s="319"/>
      <c r="BNO13" s="319"/>
      <c r="BNP13" s="319"/>
      <c r="BNQ13" s="319"/>
      <c r="BNR13" s="319"/>
      <c r="BNS13" s="319"/>
      <c r="BNT13" s="319"/>
      <c r="BNU13" s="319"/>
      <c r="BNV13" s="319"/>
      <c r="BNW13" s="319"/>
      <c r="BNX13" s="319"/>
      <c r="BNY13" s="319"/>
      <c r="BNZ13" s="319"/>
      <c r="BOA13" s="319"/>
      <c r="BOB13" s="319"/>
      <c r="BOC13" s="319"/>
      <c r="BOD13" s="319"/>
      <c r="BOE13" s="319"/>
      <c r="BOF13" s="319"/>
      <c r="BOG13" s="319"/>
      <c r="BOH13" s="319"/>
      <c r="BOI13" s="319"/>
      <c r="BOJ13" s="319"/>
      <c r="BOK13" s="319"/>
      <c r="BOL13" s="319"/>
      <c r="BOM13" s="319"/>
      <c r="BON13" s="319"/>
      <c r="BOO13" s="319"/>
      <c r="BOP13" s="319"/>
      <c r="BOQ13" s="319"/>
      <c r="BOR13" s="319"/>
      <c r="BOS13" s="319"/>
      <c r="BOT13" s="319"/>
      <c r="BOU13" s="319"/>
      <c r="BOV13" s="319"/>
      <c r="BOW13" s="319"/>
      <c r="BOX13" s="319"/>
      <c r="BOY13" s="319"/>
      <c r="BOZ13" s="319"/>
      <c r="BPA13" s="319"/>
      <c r="BPB13" s="319"/>
      <c r="BPC13" s="319"/>
      <c r="BPD13" s="319"/>
      <c r="BPE13" s="319"/>
      <c r="BPF13" s="319"/>
      <c r="BPG13" s="319"/>
      <c r="BPH13" s="319"/>
      <c r="BPI13" s="319"/>
      <c r="BPJ13" s="319"/>
      <c r="BPK13" s="319"/>
      <c r="BPL13" s="319"/>
      <c r="BPM13" s="319"/>
      <c r="BPN13" s="319"/>
      <c r="BPO13" s="319"/>
      <c r="BPP13" s="319"/>
      <c r="BPQ13" s="319"/>
      <c r="BPR13" s="319"/>
      <c r="BPS13" s="319"/>
      <c r="BPT13" s="319"/>
      <c r="BPU13" s="319"/>
      <c r="BPV13" s="319"/>
      <c r="BPW13" s="319"/>
      <c r="BPX13" s="319"/>
      <c r="BPY13" s="319"/>
      <c r="BPZ13" s="319"/>
      <c r="BQA13" s="319"/>
      <c r="BQB13" s="319"/>
      <c r="BQC13" s="319"/>
      <c r="BQD13" s="319"/>
      <c r="BQE13" s="319"/>
      <c r="BQF13" s="319"/>
      <c r="BQG13" s="319"/>
      <c r="BQH13" s="319"/>
      <c r="BQI13" s="319"/>
      <c r="BQJ13" s="319"/>
      <c r="BQK13" s="319"/>
      <c r="BQL13" s="319"/>
      <c r="BQM13" s="319"/>
      <c r="BQN13" s="319"/>
      <c r="BQO13" s="319"/>
      <c r="BQP13" s="319"/>
      <c r="BQQ13" s="319"/>
      <c r="BQR13" s="319"/>
      <c r="BQS13" s="319"/>
      <c r="BQT13" s="319"/>
      <c r="BQU13" s="319"/>
      <c r="BQV13" s="319"/>
      <c r="BQW13" s="319"/>
      <c r="BQX13" s="319"/>
      <c r="BQY13" s="319"/>
      <c r="BQZ13" s="319"/>
      <c r="BRA13" s="319"/>
      <c r="BRB13" s="319"/>
      <c r="BRC13" s="319"/>
      <c r="BRD13" s="319"/>
      <c r="BRE13" s="319"/>
      <c r="BRF13" s="319"/>
      <c r="BRG13" s="319"/>
      <c r="BRH13" s="319"/>
      <c r="BRI13" s="319"/>
      <c r="BRJ13" s="319"/>
      <c r="BRK13" s="319"/>
      <c r="BRL13" s="319"/>
      <c r="BRM13" s="319"/>
      <c r="BRN13" s="319"/>
      <c r="BRO13" s="319"/>
      <c r="BRP13" s="319"/>
      <c r="BRQ13" s="319"/>
      <c r="BRR13" s="319"/>
      <c r="BRS13" s="319"/>
      <c r="BRT13" s="319"/>
      <c r="BRU13" s="319"/>
      <c r="BRV13" s="319"/>
      <c r="BRW13" s="319"/>
      <c r="BRX13" s="319"/>
      <c r="BRY13" s="319"/>
      <c r="BRZ13" s="319"/>
      <c r="BSA13" s="319"/>
      <c r="BSB13" s="319"/>
      <c r="BSC13" s="319"/>
      <c r="BSD13" s="319"/>
      <c r="BSE13" s="319"/>
      <c r="BSF13" s="319"/>
      <c r="BSG13" s="319"/>
      <c r="BSH13" s="319"/>
      <c r="BSI13" s="319"/>
      <c r="BSJ13" s="319"/>
      <c r="BSK13" s="319"/>
      <c r="BSL13" s="319"/>
      <c r="BSM13" s="319"/>
      <c r="BSN13" s="319"/>
      <c r="BSO13" s="319"/>
      <c r="BSP13" s="319"/>
      <c r="BSQ13" s="319"/>
      <c r="BSR13" s="319"/>
      <c r="BSS13" s="319"/>
      <c r="BST13" s="319"/>
      <c r="BSU13" s="319"/>
      <c r="BSV13" s="319"/>
      <c r="BSW13" s="319"/>
      <c r="BSX13" s="319"/>
      <c r="BSY13" s="319"/>
      <c r="BSZ13" s="319"/>
      <c r="BTA13" s="319"/>
      <c r="BTB13" s="319"/>
      <c r="BTC13" s="319"/>
      <c r="BTD13" s="319"/>
      <c r="BTE13" s="319"/>
      <c r="BTF13" s="319"/>
      <c r="BTG13" s="319"/>
      <c r="BTH13" s="319"/>
      <c r="BTI13" s="319"/>
      <c r="BTJ13" s="319"/>
      <c r="BTK13" s="319"/>
      <c r="BTL13" s="319"/>
      <c r="BTM13" s="319"/>
      <c r="BTN13" s="319"/>
      <c r="BTO13" s="319"/>
      <c r="BTP13" s="319"/>
      <c r="BTQ13" s="319"/>
      <c r="BTR13" s="319"/>
      <c r="BTS13" s="319"/>
      <c r="BTT13" s="319"/>
      <c r="BTU13" s="319"/>
      <c r="BTV13" s="319"/>
      <c r="BTW13" s="319"/>
      <c r="BTX13" s="319"/>
      <c r="BTY13" s="319"/>
      <c r="BTZ13" s="319"/>
      <c r="BUA13" s="319"/>
      <c r="BUB13" s="319"/>
      <c r="BUC13" s="319"/>
      <c r="BUD13" s="319"/>
      <c r="BUE13" s="319"/>
      <c r="BUF13" s="319"/>
      <c r="BUG13" s="319"/>
      <c r="BUH13" s="319"/>
      <c r="BUI13" s="319"/>
      <c r="BUJ13" s="319"/>
      <c r="BUK13" s="319"/>
      <c r="BUL13" s="319"/>
      <c r="BUM13" s="319"/>
      <c r="BUN13" s="319"/>
      <c r="BUO13" s="319"/>
      <c r="BUP13" s="319"/>
      <c r="BUQ13" s="319"/>
      <c r="BUR13" s="319"/>
      <c r="BUS13" s="319"/>
      <c r="BUT13" s="319"/>
      <c r="BUU13" s="319"/>
      <c r="BUV13" s="319"/>
      <c r="BUW13" s="319"/>
      <c r="BUX13" s="319"/>
      <c r="BUY13" s="319"/>
      <c r="BUZ13" s="319"/>
      <c r="BVA13" s="319"/>
      <c r="BVB13" s="319"/>
      <c r="BVC13" s="319"/>
      <c r="BVD13" s="319"/>
      <c r="BVE13" s="319"/>
      <c r="BVF13" s="319"/>
      <c r="BVG13" s="319"/>
      <c r="BVH13" s="319"/>
      <c r="BVI13" s="319"/>
      <c r="BVJ13" s="319"/>
      <c r="BVK13" s="319"/>
      <c r="BVL13" s="319"/>
      <c r="BVM13" s="319"/>
      <c r="BVN13" s="319"/>
      <c r="BVO13" s="319"/>
      <c r="BVP13" s="319"/>
      <c r="BVQ13" s="319"/>
      <c r="BVR13" s="319"/>
      <c r="BVS13" s="319"/>
      <c r="BVT13" s="319"/>
      <c r="BVU13" s="319"/>
      <c r="BVV13" s="319"/>
      <c r="BVW13" s="319"/>
      <c r="BVX13" s="319"/>
      <c r="BVY13" s="319"/>
      <c r="BVZ13" s="319"/>
      <c r="BWA13" s="319"/>
      <c r="BWB13" s="319"/>
      <c r="BWC13" s="319"/>
      <c r="BWD13" s="319"/>
      <c r="BWE13" s="319"/>
      <c r="BWF13" s="319"/>
      <c r="BWG13" s="319"/>
      <c r="BWH13" s="319"/>
      <c r="BWI13" s="319"/>
      <c r="BWJ13" s="319"/>
      <c r="BWK13" s="319"/>
      <c r="BWL13" s="319"/>
      <c r="BWM13" s="319"/>
      <c r="BWN13" s="319"/>
      <c r="BWO13" s="319"/>
      <c r="BWP13" s="319"/>
      <c r="BWQ13" s="319"/>
      <c r="BWR13" s="319"/>
      <c r="BWS13" s="319"/>
      <c r="BWT13" s="319"/>
      <c r="BWU13" s="319"/>
      <c r="BWV13" s="319"/>
      <c r="BWW13" s="319"/>
      <c r="BWX13" s="319"/>
      <c r="BWY13" s="319"/>
      <c r="BWZ13" s="319"/>
      <c r="BXA13" s="319"/>
      <c r="BXB13" s="319"/>
      <c r="BXC13" s="319"/>
      <c r="BXD13" s="319"/>
      <c r="BXE13" s="319"/>
      <c r="BXF13" s="319"/>
      <c r="BXG13" s="319"/>
      <c r="BXH13" s="319"/>
      <c r="BXI13" s="319"/>
      <c r="BXJ13" s="319"/>
      <c r="BXK13" s="319"/>
      <c r="BXL13" s="319"/>
      <c r="BXM13" s="319"/>
      <c r="BXN13" s="319"/>
      <c r="BXO13" s="319"/>
      <c r="BXP13" s="319"/>
      <c r="BXQ13" s="319"/>
      <c r="BXR13" s="319"/>
      <c r="BXS13" s="319"/>
      <c r="BXT13" s="319"/>
      <c r="BXU13" s="319"/>
      <c r="BXV13" s="319"/>
      <c r="BXW13" s="319"/>
      <c r="BXX13" s="319"/>
      <c r="BXY13" s="319"/>
      <c r="BXZ13" s="319"/>
      <c r="BYA13" s="319"/>
      <c r="BYB13" s="319"/>
      <c r="BYC13" s="319"/>
      <c r="BYD13" s="319"/>
      <c r="BYE13" s="319"/>
      <c r="BYF13" s="319"/>
      <c r="BYG13" s="319"/>
      <c r="BYH13" s="319"/>
      <c r="BYI13" s="319"/>
      <c r="BYJ13" s="319"/>
      <c r="BYK13" s="319"/>
      <c r="BYL13" s="319"/>
      <c r="BYM13" s="319"/>
      <c r="BYN13" s="319"/>
      <c r="BYO13" s="319"/>
      <c r="BYP13" s="319"/>
      <c r="BYQ13" s="319"/>
      <c r="BYR13" s="319"/>
      <c r="BYS13" s="319"/>
      <c r="BYT13" s="319"/>
      <c r="BYU13" s="319"/>
      <c r="BYV13" s="319"/>
      <c r="BYW13" s="319"/>
      <c r="BYX13" s="319"/>
      <c r="BYY13" s="319"/>
      <c r="BYZ13" s="319"/>
      <c r="BZA13" s="319"/>
      <c r="BZB13" s="319"/>
      <c r="BZC13" s="319"/>
      <c r="BZD13" s="319"/>
      <c r="BZE13" s="319"/>
      <c r="BZF13" s="319"/>
      <c r="BZG13" s="319"/>
      <c r="BZH13" s="319"/>
      <c r="BZI13" s="319"/>
      <c r="BZJ13" s="319"/>
      <c r="BZK13" s="319"/>
      <c r="BZL13" s="319"/>
      <c r="BZM13" s="319"/>
      <c r="BZN13" s="319"/>
      <c r="BZO13" s="319"/>
      <c r="BZP13" s="319"/>
      <c r="BZQ13" s="319"/>
      <c r="BZR13" s="319"/>
      <c r="BZS13" s="319"/>
      <c r="BZT13" s="319"/>
      <c r="BZU13" s="319"/>
      <c r="BZV13" s="319"/>
      <c r="BZW13" s="319"/>
      <c r="BZX13" s="319"/>
      <c r="BZY13" s="319"/>
      <c r="BZZ13" s="319"/>
      <c r="CAA13" s="319"/>
      <c r="CAB13" s="319"/>
      <c r="CAC13" s="319"/>
      <c r="CAD13" s="319"/>
      <c r="CAE13" s="319"/>
      <c r="CAF13" s="319"/>
      <c r="CAG13" s="319"/>
      <c r="CAH13" s="319"/>
      <c r="CAI13" s="319"/>
      <c r="CAJ13" s="319"/>
      <c r="CAK13" s="319"/>
      <c r="CAL13" s="319"/>
      <c r="CAM13" s="319"/>
      <c r="CAN13" s="319"/>
      <c r="CAO13" s="319"/>
      <c r="CAP13" s="319"/>
      <c r="CAQ13" s="319"/>
      <c r="CAR13" s="319"/>
      <c r="CAS13" s="319"/>
      <c r="CAT13" s="319"/>
      <c r="CAU13" s="319"/>
      <c r="CAV13" s="319"/>
      <c r="CAW13" s="319"/>
      <c r="CAX13" s="319"/>
      <c r="CAY13" s="319"/>
      <c r="CAZ13" s="319"/>
      <c r="CBA13" s="319"/>
      <c r="CBB13" s="319"/>
      <c r="CBC13" s="319"/>
      <c r="CBD13" s="319"/>
      <c r="CBE13" s="319"/>
      <c r="CBF13" s="319"/>
      <c r="CBG13" s="319"/>
      <c r="CBH13" s="319"/>
      <c r="CBI13" s="319"/>
      <c r="CBJ13" s="319"/>
      <c r="CBK13" s="319"/>
      <c r="CBL13" s="319"/>
      <c r="CBM13" s="319"/>
      <c r="CBN13" s="319"/>
      <c r="CBO13" s="319"/>
      <c r="CBP13" s="319"/>
      <c r="CBQ13" s="319"/>
      <c r="CBR13" s="319"/>
      <c r="CBS13" s="319"/>
      <c r="CBT13" s="319"/>
      <c r="CBU13" s="319"/>
      <c r="CBV13" s="319"/>
      <c r="CBW13" s="319"/>
      <c r="CBX13" s="319"/>
      <c r="CBY13" s="319"/>
      <c r="CBZ13" s="319"/>
      <c r="CCA13" s="319"/>
      <c r="CCB13" s="319"/>
      <c r="CCC13" s="319"/>
      <c r="CCD13" s="319"/>
      <c r="CCE13" s="319"/>
      <c r="CCF13" s="319"/>
      <c r="CCG13" s="319"/>
      <c r="CCH13" s="319"/>
      <c r="CCI13" s="319"/>
      <c r="CCJ13" s="319"/>
      <c r="CCK13" s="319"/>
      <c r="CCL13" s="319"/>
      <c r="CCM13" s="319"/>
      <c r="CCN13" s="319"/>
      <c r="CCO13" s="319"/>
      <c r="CCP13" s="319"/>
      <c r="CCQ13" s="319"/>
      <c r="CCR13" s="319"/>
      <c r="CCS13" s="319"/>
      <c r="CCT13" s="319"/>
      <c r="CCU13" s="319"/>
      <c r="CCV13" s="319"/>
      <c r="CCW13" s="319"/>
      <c r="CCX13" s="319"/>
      <c r="CCY13" s="319"/>
      <c r="CCZ13" s="319"/>
      <c r="CDA13" s="319"/>
      <c r="CDB13" s="319"/>
      <c r="CDC13" s="319"/>
      <c r="CDD13" s="319"/>
      <c r="CDE13" s="319"/>
      <c r="CDF13" s="319"/>
      <c r="CDG13" s="319"/>
      <c r="CDH13" s="319"/>
      <c r="CDI13" s="319"/>
      <c r="CDJ13" s="319"/>
      <c r="CDK13" s="319"/>
      <c r="CDL13" s="319"/>
      <c r="CDM13" s="319"/>
      <c r="CDN13" s="319"/>
      <c r="CDO13" s="319"/>
      <c r="CDP13" s="319"/>
      <c r="CDQ13" s="319"/>
      <c r="CDR13" s="319"/>
      <c r="CDS13" s="319"/>
      <c r="CDT13" s="319"/>
      <c r="CDU13" s="319"/>
      <c r="CDV13" s="319"/>
      <c r="CDW13" s="319"/>
      <c r="CDX13" s="319"/>
      <c r="CDY13" s="319"/>
      <c r="CDZ13" s="319"/>
      <c r="CEA13" s="319"/>
      <c r="CEB13" s="319"/>
      <c r="CEC13" s="319"/>
      <c r="CED13" s="319"/>
      <c r="CEE13" s="319"/>
      <c r="CEF13" s="319"/>
      <c r="CEG13" s="319"/>
      <c r="CEH13" s="319"/>
      <c r="CEI13" s="319"/>
      <c r="CEJ13" s="319"/>
      <c r="CEK13" s="319"/>
      <c r="CEL13" s="319"/>
      <c r="CEM13" s="319"/>
      <c r="CEN13" s="319"/>
      <c r="CEO13" s="319"/>
      <c r="CEP13" s="319"/>
      <c r="CEQ13" s="319"/>
      <c r="CER13" s="319"/>
      <c r="CES13" s="319"/>
      <c r="CET13" s="319"/>
      <c r="CEU13" s="319"/>
      <c r="CEV13" s="319"/>
      <c r="CEW13" s="319"/>
      <c r="CEX13" s="319"/>
      <c r="CEY13" s="319"/>
      <c r="CEZ13" s="319"/>
      <c r="CFA13" s="319"/>
      <c r="CFB13" s="319"/>
      <c r="CFC13" s="319"/>
      <c r="CFD13" s="319"/>
      <c r="CFE13" s="319"/>
      <c r="CFF13" s="319"/>
      <c r="CFG13" s="319"/>
      <c r="CFH13" s="319"/>
      <c r="CFI13" s="319"/>
      <c r="CFJ13" s="319"/>
      <c r="CFK13" s="319"/>
      <c r="CFL13" s="319"/>
      <c r="CFM13" s="319"/>
      <c r="CFN13" s="319"/>
      <c r="CFO13" s="319"/>
      <c r="CFP13" s="319"/>
      <c r="CFQ13" s="319"/>
      <c r="CFR13" s="319"/>
      <c r="CFS13" s="319"/>
      <c r="CFT13" s="319"/>
      <c r="CFU13" s="319"/>
      <c r="CFV13" s="319"/>
      <c r="CFW13" s="319"/>
      <c r="CFX13" s="319"/>
      <c r="CFY13" s="319"/>
      <c r="CFZ13" s="319"/>
      <c r="CGA13" s="319"/>
      <c r="CGB13" s="319"/>
      <c r="CGC13" s="319"/>
      <c r="CGD13" s="319"/>
      <c r="CGE13" s="319"/>
      <c r="CGF13" s="319"/>
      <c r="CGG13" s="319"/>
      <c r="CGH13" s="319"/>
      <c r="CGI13" s="319"/>
      <c r="CGJ13" s="319"/>
      <c r="CGK13" s="319"/>
      <c r="CGL13" s="319"/>
      <c r="CGM13" s="319"/>
      <c r="CGN13" s="319"/>
      <c r="CGO13" s="319"/>
      <c r="CGP13" s="319"/>
      <c r="CGQ13" s="319"/>
      <c r="CGR13" s="319"/>
      <c r="CGS13" s="319"/>
      <c r="CGT13" s="319"/>
      <c r="CGU13" s="319"/>
      <c r="CGV13" s="319"/>
      <c r="CGW13" s="319"/>
      <c r="CGX13" s="319"/>
      <c r="CGY13" s="319"/>
      <c r="CGZ13" s="319"/>
      <c r="CHA13" s="319"/>
      <c r="CHB13" s="319"/>
      <c r="CHC13" s="319"/>
      <c r="CHD13" s="319"/>
      <c r="CHE13" s="319"/>
      <c r="CHF13" s="319"/>
      <c r="CHG13" s="319"/>
      <c r="CHH13" s="319"/>
      <c r="CHI13" s="319"/>
      <c r="CHJ13" s="319"/>
      <c r="CHK13" s="319"/>
      <c r="CHL13" s="319"/>
      <c r="CHM13" s="319"/>
      <c r="CHN13" s="319"/>
      <c r="CHO13" s="319"/>
      <c r="CHP13" s="319"/>
      <c r="CHQ13" s="319"/>
      <c r="CHR13" s="319"/>
      <c r="CHS13" s="319"/>
      <c r="CHT13" s="319"/>
      <c r="CHU13" s="319"/>
      <c r="CHV13" s="319"/>
      <c r="CHW13" s="319"/>
      <c r="CHX13" s="319"/>
      <c r="CHY13" s="319"/>
      <c r="CHZ13" s="319"/>
      <c r="CIA13" s="319"/>
      <c r="CIB13" s="319"/>
      <c r="CIC13" s="319"/>
      <c r="CID13" s="319"/>
      <c r="CIE13" s="319"/>
      <c r="CIF13" s="319"/>
      <c r="CIG13" s="319"/>
      <c r="CIH13" s="319"/>
      <c r="CII13" s="319"/>
      <c r="CIJ13" s="319"/>
      <c r="CIK13" s="319"/>
      <c r="CIL13" s="319"/>
      <c r="CIM13" s="319"/>
      <c r="CIN13" s="319"/>
      <c r="CIO13" s="319"/>
      <c r="CIP13" s="319"/>
      <c r="CIQ13" s="319"/>
      <c r="CIR13" s="319"/>
      <c r="CIS13" s="319"/>
      <c r="CIT13" s="319"/>
      <c r="CIU13" s="319"/>
      <c r="CIV13" s="319"/>
      <c r="CIW13" s="319"/>
      <c r="CIX13" s="319"/>
      <c r="CIY13" s="319"/>
      <c r="CIZ13" s="319"/>
      <c r="CJA13" s="319"/>
      <c r="CJB13" s="319"/>
      <c r="CJC13" s="319"/>
      <c r="CJD13" s="319"/>
      <c r="CJE13" s="319"/>
      <c r="CJF13" s="319"/>
      <c r="CJG13" s="319"/>
      <c r="CJH13" s="319"/>
      <c r="CJI13" s="319"/>
      <c r="CJJ13" s="319"/>
      <c r="CJK13" s="319"/>
      <c r="CJL13" s="319"/>
      <c r="CJM13" s="319"/>
      <c r="CJN13" s="319"/>
      <c r="CJO13" s="319"/>
      <c r="CJP13" s="319"/>
      <c r="CJQ13" s="319"/>
      <c r="CJR13" s="319"/>
      <c r="CJS13" s="319"/>
      <c r="CJT13" s="319"/>
      <c r="CJU13" s="319"/>
      <c r="CJV13" s="319"/>
      <c r="CJW13" s="319"/>
      <c r="CJX13" s="319"/>
      <c r="CJY13" s="319"/>
      <c r="CJZ13" s="319"/>
      <c r="CKA13" s="319"/>
      <c r="CKB13" s="319"/>
      <c r="CKC13" s="319"/>
      <c r="CKD13" s="319"/>
      <c r="CKE13" s="319"/>
      <c r="CKF13" s="319"/>
      <c r="CKG13" s="319"/>
      <c r="CKH13" s="319"/>
      <c r="CKI13" s="319"/>
      <c r="CKJ13" s="319"/>
      <c r="CKK13" s="319"/>
      <c r="CKL13" s="319"/>
      <c r="CKM13" s="319"/>
      <c r="CKN13" s="319"/>
      <c r="CKO13" s="319"/>
      <c r="CKP13" s="319"/>
      <c r="CKQ13" s="319"/>
      <c r="CKR13" s="319"/>
      <c r="CKS13" s="319"/>
      <c r="CKT13" s="319"/>
      <c r="CKU13" s="319"/>
      <c r="CKV13" s="319"/>
      <c r="CKW13" s="319"/>
      <c r="CKX13" s="319"/>
      <c r="CKY13" s="319"/>
      <c r="CKZ13" s="319"/>
      <c r="CLA13" s="319"/>
      <c r="CLB13" s="319"/>
      <c r="CLC13" s="319"/>
      <c r="CLD13" s="319"/>
      <c r="CLE13" s="319"/>
      <c r="CLF13" s="319"/>
      <c r="CLG13" s="319"/>
      <c r="CLH13" s="319"/>
      <c r="CLI13" s="319"/>
      <c r="CLJ13" s="319"/>
      <c r="CLK13" s="319"/>
      <c r="CLL13" s="319"/>
      <c r="CLM13" s="319"/>
      <c r="CLN13" s="319"/>
      <c r="CLO13" s="319"/>
      <c r="CLP13" s="319"/>
      <c r="CLQ13" s="319"/>
      <c r="CLR13" s="319"/>
      <c r="CLS13" s="319"/>
      <c r="CLT13" s="319"/>
      <c r="CLU13" s="319"/>
      <c r="CLV13" s="319"/>
      <c r="CLW13" s="319"/>
      <c r="CLX13" s="319"/>
      <c r="CLY13" s="319"/>
      <c r="CLZ13" s="319"/>
      <c r="CMA13" s="319"/>
      <c r="CMB13" s="319"/>
      <c r="CMC13" s="319"/>
      <c r="CMD13" s="319"/>
      <c r="CME13" s="319"/>
      <c r="CMF13" s="319"/>
      <c r="CMG13" s="319"/>
      <c r="CMH13" s="319"/>
      <c r="CMI13" s="319"/>
      <c r="CMJ13" s="319"/>
      <c r="CMK13" s="319"/>
      <c r="CML13" s="319"/>
      <c r="CMM13" s="319"/>
      <c r="CMN13" s="319"/>
      <c r="CMO13" s="319"/>
      <c r="CMP13" s="319"/>
      <c r="CMQ13" s="319"/>
      <c r="CMR13" s="319"/>
      <c r="CMS13" s="319"/>
      <c r="CMT13" s="319"/>
      <c r="CMU13" s="319"/>
      <c r="CMV13" s="319"/>
      <c r="CMW13" s="319"/>
      <c r="CMX13" s="319"/>
      <c r="CMY13" s="319"/>
      <c r="CMZ13" s="319"/>
      <c r="CNA13" s="319"/>
      <c r="CNB13" s="319"/>
      <c r="CNC13" s="319"/>
      <c r="CND13" s="319"/>
      <c r="CNE13" s="319"/>
      <c r="CNF13" s="319"/>
      <c r="CNG13" s="319"/>
      <c r="CNH13" s="319"/>
      <c r="CNI13" s="319"/>
      <c r="CNJ13" s="319"/>
      <c r="CNK13" s="319"/>
      <c r="CNL13" s="319"/>
      <c r="CNM13" s="319"/>
      <c r="CNN13" s="319"/>
      <c r="CNO13" s="319"/>
      <c r="CNP13" s="319"/>
      <c r="CNQ13" s="319"/>
      <c r="CNR13" s="319"/>
      <c r="CNS13" s="319"/>
      <c r="CNT13" s="319"/>
      <c r="CNU13" s="319"/>
      <c r="CNV13" s="319"/>
      <c r="CNW13" s="319"/>
      <c r="CNX13" s="319"/>
      <c r="CNY13" s="319"/>
      <c r="CNZ13" s="319"/>
      <c r="COA13" s="319"/>
      <c r="COB13" s="319"/>
      <c r="COC13" s="319"/>
      <c r="COD13" s="319"/>
      <c r="COE13" s="319"/>
      <c r="COF13" s="319"/>
      <c r="COG13" s="319"/>
      <c r="COH13" s="319"/>
      <c r="COI13" s="319"/>
      <c r="COJ13" s="319"/>
      <c r="COK13" s="319"/>
      <c r="COL13" s="319"/>
      <c r="COM13" s="319"/>
      <c r="CON13" s="319"/>
      <c r="COO13" s="319"/>
      <c r="COP13" s="319"/>
      <c r="COQ13" s="319"/>
      <c r="COR13" s="319"/>
      <c r="COS13" s="319"/>
      <c r="COT13" s="319"/>
      <c r="COU13" s="319"/>
      <c r="COV13" s="319"/>
      <c r="COW13" s="319"/>
      <c r="COX13" s="319"/>
      <c r="COY13" s="319"/>
      <c r="COZ13" s="319"/>
      <c r="CPA13" s="319"/>
      <c r="CPB13" s="319"/>
      <c r="CPC13" s="319"/>
      <c r="CPD13" s="319"/>
      <c r="CPE13" s="319"/>
      <c r="CPF13" s="319"/>
      <c r="CPG13" s="319"/>
      <c r="CPH13" s="319"/>
      <c r="CPI13" s="319"/>
      <c r="CPJ13" s="319"/>
      <c r="CPK13" s="319"/>
      <c r="CPL13" s="319"/>
      <c r="CPM13" s="319"/>
      <c r="CPN13" s="319"/>
      <c r="CPO13" s="319"/>
      <c r="CPP13" s="319"/>
      <c r="CPQ13" s="319"/>
      <c r="CPR13" s="319"/>
      <c r="CPS13" s="319"/>
      <c r="CPT13" s="319"/>
      <c r="CPU13" s="319"/>
      <c r="CPV13" s="319"/>
      <c r="CPW13" s="319"/>
      <c r="CPX13" s="319"/>
      <c r="CPY13" s="319"/>
      <c r="CPZ13" s="319"/>
      <c r="CQA13" s="319"/>
      <c r="CQB13" s="319"/>
      <c r="CQC13" s="319"/>
      <c r="CQD13" s="319"/>
      <c r="CQE13" s="319"/>
      <c r="CQF13" s="319"/>
      <c r="CQG13" s="319"/>
      <c r="CQH13" s="319"/>
      <c r="CQI13" s="319"/>
      <c r="CQJ13" s="319"/>
      <c r="CQK13" s="319"/>
      <c r="CQL13" s="319"/>
      <c r="CQM13" s="319"/>
      <c r="CQN13" s="319"/>
      <c r="CQO13" s="319"/>
      <c r="CQP13" s="319"/>
      <c r="CQQ13" s="319"/>
      <c r="CQR13" s="319"/>
      <c r="CQS13" s="319"/>
      <c r="CQT13" s="319"/>
      <c r="CQU13" s="319"/>
      <c r="CQV13" s="319"/>
      <c r="CQW13" s="319"/>
      <c r="CQX13" s="319"/>
      <c r="CQY13" s="319"/>
      <c r="CQZ13" s="319"/>
      <c r="CRA13" s="319"/>
      <c r="CRB13" s="319"/>
      <c r="CRC13" s="319"/>
      <c r="CRD13" s="319"/>
      <c r="CRE13" s="319"/>
      <c r="CRF13" s="319"/>
      <c r="CRG13" s="319"/>
      <c r="CRH13" s="319"/>
      <c r="CRI13" s="319"/>
      <c r="CRJ13" s="319"/>
      <c r="CRK13" s="319"/>
      <c r="CRL13" s="319"/>
      <c r="CRM13" s="319"/>
      <c r="CRN13" s="319"/>
      <c r="CRO13" s="319"/>
      <c r="CRP13" s="319"/>
      <c r="CRQ13" s="319"/>
      <c r="CRR13" s="319"/>
      <c r="CRS13" s="319"/>
      <c r="CRT13" s="319"/>
      <c r="CRU13" s="319"/>
      <c r="CRV13" s="319"/>
      <c r="CRW13" s="319"/>
      <c r="CRX13" s="319"/>
      <c r="CRY13" s="319"/>
      <c r="CRZ13" s="319"/>
      <c r="CSA13" s="319"/>
      <c r="CSB13" s="319"/>
      <c r="CSC13" s="319"/>
      <c r="CSD13" s="319"/>
      <c r="CSE13" s="319"/>
      <c r="CSF13" s="319"/>
      <c r="CSG13" s="319"/>
      <c r="CSH13" s="319"/>
      <c r="CSI13" s="319"/>
      <c r="CSJ13" s="319"/>
      <c r="CSK13" s="319"/>
      <c r="CSL13" s="319"/>
      <c r="CSM13" s="319"/>
      <c r="CSN13" s="319"/>
      <c r="CSO13" s="319"/>
      <c r="CSP13" s="319"/>
      <c r="CSQ13" s="319"/>
      <c r="CSR13" s="319"/>
      <c r="CSS13" s="319"/>
      <c r="CST13" s="319"/>
      <c r="CSU13" s="319"/>
      <c r="CSV13" s="319"/>
      <c r="CSW13" s="319"/>
      <c r="CSX13" s="319"/>
      <c r="CSY13" s="319"/>
      <c r="CSZ13" s="319"/>
      <c r="CTA13" s="319"/>
      <c r="CTB13" s="319"/>
      <c r="CTC13" s="319"/>
      <c r="CTD13" s="319"/>
      <c r="CTE13" s="319"/>
      <c r="CTF13" s="319"/>
      <c r="CTG13" s="319"/>
      <c r="CTH13" s="319"/>
      <c r="CTI13" s="319"/>
      <c r="CTJ13" s="319"/>
      <c r="CTK13" s="319"/>
      <c r="CTL13" s="319"/>
      <c r="CTM13" s="319"/>
      <c r="CTN13" s="319"/>
      <c r="CTO13" s="319"/>
      <c r="CTP13" s="319"/>
      <c r="CTQ13" s="319"/>
      <c r="CTR13" s="319"/>
      <c r="CTS13" s="319"/>
      <c r="CTT13" s="319"/>
      <c r="CTU13" s="319"/>
      <c r="CTV13" s="319"/>
      <c r="CTW13" s="319"/>
      <c r="CTX13" s="319"/>
      <c r="CTY13" s="319"/>
      <c r="CTZ13" s="319"/>
      <c r="CUA13" s="319"/>
      <c r="CUB13" s="319"/>
      <c r="CUC13" s="319"/>
      <c r="CUD13" s="319"/>
      <c r="CUE13" s="319"/>
      <c r="CUF13" s="319"/>
      <c r="CUG13" s="319"/>
      <c r="CUH13" s="319"/>
      <c r="CUI13" s="319"/>
      <c r="CUJ13" s="319"/>
      <c r="CUK13" s="319"/>
      <c r="CUL13" s="319"/>
      <c r="CUM13" s="319"/>
      <c r="CUN13" s="319"/>
      <c r="CUO13" s="319"/>
      <c r="CUP13" s="319"/>
      <c r="CUQ13" s="319"/>
      <c r="CUR13" s="319"/>
      <c r="CUS13" s="319"/>
      <c r="CUT13" s="319"/>
      <c r="CUU13" s="319"/>
      <c r="CUV13" s="319"/>
      <c r="CUW13" s="319"/>
      <c r="CUX13" s="319"/>
      <c r="CUY13" s="319"/>
      <c r="CUZ13" s="319"/>
      <c r="CVA13" s="319"/>
      <c r="CVB13" s="319"/>
      <c r="CVC13" s="319"/>
      <c r="CVD13" s="319"/>
      <c r="CVE13" s="319"/>
      <c r="CVF13" s="319"/>
      <c r="CVG13" s="319"/>
      <c r="CVH13" s="319"/>
      <c r="CVI13" s="319"/>
      <c r="CVJ13" s="319"/>
      <c r="CVK13" s="319"/>
      <c r="CVL13" s="319"/>
      <c r="CVM13" s="319"/>
      <c r="CVN13" s="319"/>
      <c r="CVO13" s="319"/>
      <c r="CVP13" s="319"/>
      <c r="CVQ13" s="319"/>
      <c r="CVR13" s="319"/>
      <c r="CVS13" s="319"/>
      <c r="CVT13" s="319"/>
      <c r="CVU13" s="319"/>
      <c r="CVV13" s="319"/>
      <c r="CVW13" s="319"/>
      <c r="CVX13" s="319"/>
      <c r="CVY13" s="319"/>
      <c r="CVZ13" s="319"/>
      <c r="CWA13" s="319"/>
      <c r="CWB13" s="319"/>
      <c r="CWC13" s="319"/>
      <c r="CWD13" s="319"/>
      <c r="CWE13" s="319"/>
      <c r="CWF13" s="319"/>
      <c r="CWG13" s="319"/>
      <c r="CWH13" s="319"/>
      <c r="CWI13" s="319"/>
      <c r="CWJ13" s="319"/>
      <c r="CWK13" s="319"/>
      <c r="CWL13" s="319"/>
      <c r="CWM13" s="319"/>
      <c r="CWN13" s="319"/>
      <c r="CWO13" s="319"/>
      <c r="CWP13" s="319"/>
      <c r="CWQ13" s="319"/>
      <c r="CWR13" s="319"/>
      <c r="CWS13" s="319"/>
      <c r="CWT13" s="319"/>
      <c r="CWU13" s="319"/>
      <c r="CWV13" s="319"/>
      <c r="CWW13" s="319"/>
      <c r="CWX13" s="319"/>
      <c r="CWY13" s="319"/>
      <c r="CWZ13" s="319"/>
      <c r="CXA13" s="319"/>
      <c r="CXB13" s="319"/>
      <c r="CXC13" s="319"/>
      <c r="CXD13" s="319"/>
      <c r="CXE13" s="319"/>
      <c r="CXF13" s="319"/>
      <c r="CXG13" s="319"/>
      <c r="CXH13" s="319"/>
      <c r="CXI13" s="319"/>
      <c r="CXJ13" s="319"/>
      <c r="CXK13" s="319"/>
      <c r="CXL13" s="319"/>
      <c r="CXM13" s="319"/>
      <c r="CXN13" s="319"/>
      <c r="CXO13" s="319"/>
      <c r="CXP13" s="319"/>
      <c r="CXQ13" s="319"/>
      <c r="CXR13" s="319"/>
      <c r="CXS13" s="319"/>
      <c r="CXT13" s="319"/>
      <c r="CXU13" s="319"/>
      <c r="CXV13" s="319"/>
      <c r="CXW13" s="319"/>
      <c r="CXX13" s="319"/>
      <c r="CXY13" s="319"/>
      <c r="CXZ13" s="319"/>
      <c r="CYA13" s="319"/>
      <c r="CYB13" s="319"/>
      <c r="CYC13" s="319"/>
      <c r="CYD13" s="319"/>
      <c r="CYE13" s="319"/>
      <c r="CYF13" s="319"/>
      <c r="CYG13" s="319"/>
      <c r="CYH13" s="319"/>
      <c r="CYI13" s="319"/>
      <c r="CYJ13" s="319"/>
      <c r="CYK13" s="319"/>
      <c r="CYL13" s="319"/>
      <c r="CYM13" s="319"/>
      <c r="CYN13" s="319"/>
      <c r="CYO13" s="319"/>
      <c r="CYP13" s="319"/>
      <c r="CYQ13" s="319"/>
      <c r="CYR13" s="319"/>
      <c r="CYS13" s="319"/>
      <c r="CYT13" s="319"/>
      <c r="CYU13" s="319"/>
      <c r="CYV13" s="319"/>
      <c r="CYW13" s="319"/>
      <c r="CYX13" s="319"/>
      <c r="CYY13" s="319"/>
      <c r="CYZ13" s="319"/>
      <c r="CZA13" s="319"/>
      <c r="CZB13" s="319"/>
      <c r="CZC13" s="319"/>
      <c r="CZD13" s="319"/>
      <c r="CZE13" s="319"/>
      <c r="CZF13" s="319"/>
      <c r="CZG13" s="319"/>
      <c r="CZH13" s="319"/>
      <c r="CZI13" s="319"/>
      <c r="CZJ13" s="319"/>
      <c r="CZK13" s="319"/>
      <c r="CZL13" s="319"/>
      <c r="CZM13" s="319"/>
      <c r="CZN13" s="319"/>
      <c r="CZO13" s="319"/>
      <c r="CZP13" s="319"/>
      <c r="CZQ13" s="319"/>
      <c r="CZR13" s="319"/>
      <c r="CZS13" s="319"/>
      <c r="CZT13" s="319"/>
      <c r="CZU13" s="319"/>
      <c r="CZV13" s="319"/>
      <c r="CZW13" s="319"/>
      <c r="CZX13" s="319"/>
      <c r="CZY13" s="319"/>
      <c r="CZZ13" s="319"/>
      <c r="DAA13" s="319"/>
      <c r="DAB13" s="319"/>
      <c r="DAC13" s="319"/>
      <c r="DAD13" s="319"/>
      <c r="DAE13" s="319"/>
      <c r="DAF13" s="319"/>
      <c r="DAG13" s="319"/>
      <c r="DAH13" s="319"/>
      <c r="DAI13" s="319"/>
      <c r="DAJ13" s="319"/>
      <c r="DAK13" s="319"/>
      <c r="DAL13" s="319"/>
      <c r="DAM13" s="319"/>
      <c r="DAN13" s="319"/>
      <c r="DAO13" s="319"/>
      <c r="DAP13" s="319"/>
      <c r="DAQ13" s="319"/>
      <c r="DAR13" s="319"/>
      <c r="DAS13" s="319"/>
      <c r="DAT13" s="319"/>
      <c r="DAU13" s="319"/>
      <c r="DAV13" s="319"/>
      <c r="DAW13" s="319"/>
      <c r="DAX13" s="319"/>
      <c r="DAY13" s="319"/>
      <c r="DAZ13" s="319"/>
      <c r="DBA13" s="319"/>
      <c r="DBB13" s="319"/>
      <c r="DBC13" s="319"/>
      <c r="DBD13" s="319"/>
      <c r="DBE13" s="319"/>
      <c r="DBF13" s="319"/>
      <c r="DBG13" s="319"/>
      <c r="DBH13" s="319"/>
      <c r="DBI13" s="319"/>
      <c r="DBJ13" s="319"/>
      <c r="DBK13" s="319"/>
      <c r="DBL13" s="319"/>
      <c r="DBM13" s="319"/>
      <c r="DBN13" s="319"/>
      <c r="DBO13" s="319"/>
      <c r="DBP13" s="319"/>
      <c r="DBQ13" s="319"/>
      <c r="DBR13" s="319"/>
      <c r="DBS13" s="319"/>
      <c r="DBT13" s="319"/>
      <c r="DBU13" s="319"/>
      <c r="DBV13" s="319"/>
      <c r="DBW13" s="319"/>
      <c r="DBX13" s="319"/>
      <c r="DBY13" s="319"/>
      <c r="DBZ13" s="319"/>
      <c r="DCA13" s="319"/>
      <c r="DCB13" s="319"/>
      <c r="DCC13" s="319"/>
      <c r="DCD13" s="319"/>
      <c r="DCE13" s="319"/>
      <c r="DCF13" s="319"/>
      <c r="DCG13" s="319"/>
      <c r="DCH13" s="319"/>
      <c r="DCI13" s="319"/>
      <c r="DCJ13" s="319"/>
      <c r="DCK13" s="319"/>
      <c r="DCL13" s="319"/>
      <c r="DCM13" s="319"/>
      <c r="DCN13" s="319"/>
      <c r="DCO13" s="319"/>
      <c r="DCP13" s="319"/>
      <c r="DCQ13" s="319"/>
      <c r="DCR13" s="319"/>
      <c r="DCS13" s="319"/>
      <c r="DCT13" s="319"/>
      <c r="DCU13" s="319"/>
      <c r="DCV13" s="319"/>
      <c r="DCW13" s="319"/>
      <c r="DCX13" s="319"/>
      <c r="DCY13" s="319"/>
      <c r="DCZ13" s="319"/>
      <c r="DDA13" s="319"/>
      <c r="DDB13" s="319"/>
      <c r="DDC13" s="319"/>
      <c r="DDD13" s="319"/>
      <c r="DDE13" s="319"/>
      <c r="DDF13" s="319"/>
      <c r="DDG13" s="319"/>
      <c r="DDH13" s="319"/>
      <c r="DDI13" s="319"/>
      <c r="DDJ13" s="319"/>
      <c r="DDK13" s="319"/>
      <c r="DDL13" s="319"/>
      <c r="DDM13" s="319"/>
      <c r="DDN13" s="319"/>
      <c r="DDO13" s="319"/>
      <c r="DDP13" s="319"/>
      <c r="DDQ13" s="319"/>
      <c r="DDR13" s="319"/>
      <c r="DDS13" s="319"/>
      <c r="DDT13" s="319"/>
      <c r="DDU13" s="319"/>
      <c r="DDV13" s="319"/>
      <c r="DDW13" s="319"/>
      <c r="DDX13" s="319"/>
      <c r="DDY13" s="319"/>
      <c r="DDZ13" s="319"/>
      <c r="DEA13" s="319"/>
      <c r="DEB13" s="319"/>
      <c r="DEC13" s="319"/>
      <c r="DED13" s="319"/>
      <c r="DEE13" s="319"/>
      <c r="DEF13" s="319"/>
      <c r="DEG13" s="319"/>
      <c r="DEH13" s="319"/>
      <c r="DEI13" s="319"/>
      <c r="DEJ13" s="319"/>
      <c r="DEK13" s="319"/>
      <c r="DEL13" s="319"/>
      <c r="DEM13" s="319"/>
      <c r="DEN13" s="319"/>
      <c r="DEO13" s="319"/>
      <c r="DEP13" s="319"/>
      <c r="DEQ13" s="319"/>
      <c r="DER13" s="319"/>
      <c r="DES13" s="319"/>
      <c r="DET13" s="319"/>
      <c r="DEU13" s="319"/>
      <c r="DEV13" s="319"/>
      <c r="DEW13" s="319"/>
      <c r="DEX13" s="319"/>
      <c r="DEY13" s="319"/>
      <c r="DEZ13" s="319"/>
      <c r="DFA13" s="319"/>
      <c r="DFB13" s="319"/>
      <c r="DFC13" s="319"/>
      <c r="DFD13" s="319"/>
      <c r="DFE13" s="319"/>
      <c r="DFF13" s="319"/>
      <c r="DFG13" s="319"/>
      <c r="DFH13" s="319"/>
      <c r="DFI13" s="319"/>
      <c r="DFJ13" s="319"/>
      <c r="DFK13" s="319"/>
      <c r="DFL13" s="319"/>
      <c r="DFM13" s="319"/>
      <c r="DFN13" s="319"/>
      <c r="DFO13" s="319"/>
      <c r="DFP13" s="319"/>
      <c r="DFQ13" s="319"/>
      <c r="DFR13" s="319"/>
      <c r="DFS13" s="319"/>
      <c r="DFT13" s="319"/>
      <c r="DFU13" s="319"/>
      <c r="DFV13" s="319"/>
      <c r="DFW13" s="319"/>
      <c r="DFX13" s="319"/>
      <c r="DFY13" s="319"/>
      <c r="DFZ13" s="319"/>
      <c r="DGA13" s="319"/>
      <c r="DGB13" s="319"/>
      <c r="DGC13" s="319"/>
      <c r="DGD13" s="319"/>
      <c r="DGE13" s="319"/>
      <c r="DGF13" s="319"/>
      <c r="DGG13" s="319"/>
      <c r="DGH13" s="319"/>
      <c r="DGI13" s="319"/>
      <c r="DGJ13" s="319"/>
      <c r="DGK13" s="319"/>
      <c r="DGL13" s="319"/>
      <c r="DGM13" s="319"/>
      <c r="DGN13" s="319"/>
      <c r="DGO13" s="319"/>
      <c r="DGP13" s="319"/>
      <c r="DGQ13" s="319"/>
      <c r="DGR13" s="319"/>
      <c r="DGS13" s="319"/>
      <c r="DGT13" s="319"/>
      <c r="DGU13" s="319"/>
      <c r="DGV13" s="319"/>
      <c r="DGW13" s="319"/>
      <c r="DGX13" s="319"/>
      <c r="DGY13" s="319"/>
      <c r="DGZ13" s="319"/>
      <c r="DHA13" s="319"/>
      <c r="DHB13" s="319"/>
      <c r="DHC13" s="319"/>
      <c r="DHD13" s="319"/>
      <c r="DHE13" s="319"/>
      <c r="DHF13" s="319"/>
      <c r="DHG13" s="319"/>
      <c r="DHH13" s="319"/>
      <c r="DHI13" s="319"/>
      <c r="DHJ13" s="319"/>
      <c r="DHK13" s="319"/>
      <c r="DHL13" s="319"/>
      <c r="DHM13" s="319"/>
      <c r="DHN13" s="319"/>
      <c r="DHO13" s="319"/>
      <c r="DHP13" s="319"/>
      <c r="DHQ13" s="319"/>
      <c r="DHR13" s="319"/>
      <c r="DHS13" s="319"/>
      <c r="DHT13" s="319"/>
      <c r="DHU13" s="319"/>
      <c r="DHV13" s="319"/>
      <c r="DHW13" s="319"/>
      <c r="DHX13" s="319"/>
      <c r="DHY13" s="319"/>
      <c r="DHZ13" s="319"/>
      <c r="DIA13" s="319"/>
      <c r="DIB13" s="319"/>
      <c r="DIC13" s="319"/>
      <c r="DID13" s="319"/>
      <c r="DIE13" s="319"/>
      <c r="DIF13" s="319"/>
      <c r="DIG13" s="319"/>
      <c r="DIH13" s="319"/>
      <c r="DII13" s="319"/>
      <c r="DIJ13" s="319"/>
      <c r="DIK13" s="319"/>
      <c r="DIL13" s="319"/>
      <c r="DIM13" s="319"/>
      <c r="DIN13" s="319"/>
      <c r="DIO13" s="319"/>
      <c r="DIP13" s="319"/>
      <c r="DIQ13" s="319"/>
      <c r="DIR13" s="319"/>
      <c r="DIS13" s="319"/>
      <c r="DIT13" s="319"/>
      <c r="DIU13" s="319"/>
      <c r="DIV13" s="319"/>
      <c r="DIW13" s="319"/>
      <c r="DIX13" s="319"/>
      <c r="DIY13" s="319"/>
      <c r="DIZ13" s="319"/>
      <c r="DJA13" s="319"/>
      <c r="DJB13" s="319"/>
      <c r="DJC13" s="319"/>
      <c r="DJD13" s="319"/>
      <c r="DJE13" s="319"/>
      <c r="DJF13" s="319"/>
      <c r="DJG13" s="319"/>
      <c r="DJH13" s="319"/>
      <c r="DJI13" s="319"/>
      <c r="DJJ13" s="319"/>
      <c r="DJK13" s="319"/>
      <c r="DJL13" s="319"/>
      <c r="DJM13" s="319"/>
      <c r="DJN13" s="319"/>
      <c r="DJO13" s="319"/>
      <c r="DJP13" s="319"/>
      <c r="DJQ13" s="319"/>
      <c r="DJR13" s="319"/>
      <c r="DJS13" s="319"/>
      <c r="DJT13" s="319"/>
      <c r="DJU13" s="319"/>
      <c r="DJV13" s="319"/>
      <c r="DJW13" s="319"/>
      <c r="DJX13" s="319"/>
      <c r="DJY13" s="319"/>
      <c r="DJZ13" s="319"/>
      <c r="DKA13" s="319"/>
      <c r="DKB13" s="319"/>
      <c r="DKC13" s="319"/>
      <c r="DKD13" s="319"/>
      <c r="DKE13" s="319"/>
      <c r="DKF13" s="319"/>
      <c r="DKG13" s="319"/>
      <c r="DKH13" s="319"/>
      <c r="DKI13" s="319"/>
      <c r="DKJ13" s="319"/>
      <c r="DKK13" s="319"/>
      <c r="DKL13" s="319"/>
      <c r="DKM13" s="319"/>
      <c r="DKN13" s="319"/>
      <c r="DKO13" s="319"/>
      <c r="DKP13" s="319"/>
      <c r="DKQ13" s="319"/>
      <c r="DKR13" s="319"/>
      <c r="DKS13" s="319"/>
      <c r="DKT13" s="319"/>
      <c r="DKU13" s="319"/>
      <c r="DKV13" s="319"/>
      <c r="DKW13" s="319"/>
      <c r="DKX13" s="319"/>
      <c r="DKY13" s="319"/>
      <c r="DKZ13" s="319"/>
      <c r="DLA13" s="319"/>
      <c r="DLB13" s="319"/>
      <c r="DLC13" s="319"/>
      <c r="DLD13" s="319"/>
      <c r="DLE13" s="319"/>
      <c r="DLF13" s="319"/>
      <c r="DLG13" s="319"/>
      <c r="DLH13" s="319"/>
      <c r="DLI13" s="319"/>
      <c r="DLJ13" s="319"/>
      <c r="DLK13" s="319"/>
      <c r="DLL13" s="319"/>
      <c r="DLM13" s="319"/>
      <c r="DLN13" s="319"/>
      <c r="DLO13" s="319"/>
      <c r="DLP13" s="319"/>
      <c r="DLQ13" s="319"/>
      <c r="DLR13" s="319"/>
      <c r="DLS13" s="319"/>
      <c r="DLT13" s="319"/>
      <c r="DLU13" s="319"/>
      <c r="DLV13" s="319"/>
      <c r="DLW13" s="319"/>
      <c r="DLX13" s="319"/>
      <c r="DLY13" s="319"/>
      <c r="DLZ13" s="319"/>
      <c r="DMA13" s="319"/>
      <c r="DMB13" s="319"/>
      <c r="DMC13" s="319"/>
      <c r="DMD13" s="319"/>
      <c r="DME13" s="319"/>
      <c r="DMF13" s="319"/>
      <c r="DMG13" s="319"/>
      <c r="DMH13" s="319"/>
      <c r="DMI13" s="319"/>
      <c r="DMJ13" s="319"/>
      <c r="DMK13" s="319"/>
      <c r="DML13" s="319"/>
      <c r="DMM13" s="319"/>
      <c r="DMN13" s="319"/>
      <c r="DMO13" s="319"/>
      <c r="DMP13" s="319"/>
      <c r="DMQ13" s="319"/>
      <c r="DMR13" s="319"/>
      <c r="DMS13" s="319"/>
      <c r="DMT13" s="319"/>
      <c r="DMU13" s="319"/>
      <c r="DMV13" s="319"/>
      <c r="DMW13" s="319"/>
      <c r="DMX13" s="319"/>
      <c r="DMY13" s="319"/>
      <c r="DMZ13" s="319"/>
      <c r="DNA13" s="319"/>
      <c r="DNB13" s="319"/>
      <c r="DNC13" s="319"/>
      <c r="DND13" s="319"/>
      <c r="DNE13" s="319"/>
      <c r="DNF13" s="319"/>
      <c r="DNG13" s="319"/>
      <c r="DNH13" s="319"/>
      <c r="DNI13" s="319"/>
      <c r="DNJ13" s="319"/>
      <c r="DNK13" s="319"/>
      <c r="DNL13" s="319"/>
      <c r="DNM13" s="319"/>
      <c r="DNN13" s="319"/>
      <c r="DNO13" s="319"/>
      <c r="DNP13" s="319"/>
      <c r="DNQ13" s="319"/>
      <c r="DNR13" s="319"/>
      <c r="DNS13" s="319"/>
      <c r="DNT13" s="319"/>
      <c r="DNU13" s="319"/>
      <c r="DNV13" s="319"/>
      <c r="DNW13" s="319"/>
      <c r="DNX13" s="319"/>
      <c r="DNY13" s="319"/>
      <c r="DNZ13" s="319"/>
      <c r="DOA13" s="319"/>
      <c r="DOB13" s="319"/>
      <c r="DOC13" s="319"/>
      <c r="DOD13" s="319"/>
      <c r="DOE13" s="319"/>
      <c r="DOF13" s="319"/>
      <c r="DOG13" s="319"/>
      <c r="DOH13" s="319"/>
      <c r="DOI13" s="319"/>
      <c r="DOJ13" s="319"/>
      <c r="DOK13" s="319"/>
      <c r="DOL13" s="319"/>
      <c r="DOM13" s="319"/>
      <c r="DON13" s="319"/>
      <c r="DOO13" s="319"/>
      <c r="DOP13" s="319"/>
      <c r="DOQ13" s="319"/>
      <c r="DOR13" s="319"/>
      <c r="DOS13" s="319"/>
      <c r="DOT13" s="319"/>
      <c r="DOU13" s="319"/>
      <c r="DOV13" s="319"/>
      <c r="DOW13" s="319"/>
      <c r="DOX13" s="319"/>
      <c r="DOY13" s="319"/>
      <c r="DOZ13" s="319"/>
      <c r="DPA13" s="319"/>
      <c r="DPB13" s="319"/>
      <c r="DPC13" s="319"/>
      <c r="DPD13" s="319"/>
      <c r="DPE13" s="319"/>
      <c r="DPF13" s="319"/>
      <c r="DPG13" s="319"/>
      <c r="DPH13" s="319"/>
      <c r="DPI13" s="319"/>
      <c r="DPJ13" s="319"/>
      <c r="DPK13" s="319"/>
      <c r="DPL13" s="319"/>
      <c r="DPM13" s="319"/>
      <c r="DPN13" s="319"/>
      <c r="DPO13" s="319"/>
      <c r="DPP13" s="319"/>
      <c r="DPQ13" s="319"/>
      <c r="DPR13" s="319"/>
      <c r="DPS13" s="319"/>
      <c r="DPT13" s="319"/>
      <c r="DPU13" s="319"/>
      <c r="DPV13" s="319"/>
      <c r="DPW13" s="319"/>
      <c r="DPX13" s="319"/>
      <c r="DPY13" s="319"/>
      <c r="DPZ13" s="319"/>
      <c r="DQA13" s="319"/>
      <c r="DQB13" s="319"/>
      <c r="DQC13" s="319"/>
      <c r="DQD13" s="319"/>
      <c r="DQE13" s="319"/>
      <c r="DQF13" s="319"/>
      <c r="DQG13" s="319"/>
      <c r="DQH13" s="319"/>
      <c r="DQI13" s="319"/>
      <c r="DQJ13" s="319"/>
      <c r="DQK13" s="319"/>
      <c r="DQL13" s="319"/>
      <c r="DQM13" s="319"/>
      <c r="DQN13" s="319"/>
      <c r="DQO13" s="319"/>
      <c r="DQP13" s="319"/>
      <c r="DQQ13" s="319"/>
      <c r="DQR13" s="319"/>
      <c r="DQS13" s="319"/>
      <c r="DQT13" s="319"/>
      <c r="DQU13" s="319"/>
      <c r="DQV13" s="319"/>
      <c r="DQW13" s="319"/>
      <c r="DQX13" s="319"/>
      <c r="DQY13" s="319"/>
      <c r="DQZ13" s="319"/>
      <c r="DRA13" s="319"/>
      <c r="DRB13" s="319"/>
      <c r="DRC13" s="319"/>
      <c r="DRD13" s="319"/>
      <c r="DRE13" s="319"/>
      <c r="DRF13" s="319"/>
      <c r="DRG13" s="319"/>
      <c r="DRH13" s="319"/>
      <c r="DRI13" s="319"/>
      <c r="DRJ13" s="319"/>
      <c r="DRK13" s="319"/>
      <c r="DRL13" s="319"/>
      <c r="DRM13" s="319"/>
      <c r="DRN13" s="319"/>
      <c r="DRO13" s="319"/>
      <c r="DRP13" s="319"/>
      <c r="DRQ13" s="319"/>
      <c r="DRR13" s="319"/>
      <c r="DRS13" s="319"/>
      <c r="DRT13" s="319"/>
      <c r="DRU13" s="319"/>
      <c r="DRV13" s="319"/>
      <c r="DRW13" s="319"/>
      <c r="DRX13" s="319"/>
      <c r="DRY13" s="319"/>
      <c r="DRZ13" s="319"/>
      <c r="DSA13" s="319"/>
      <c r="DSB13" s="319"/>
      <c r="DSC13" s="319"/>
      <c r="DSD13" s="319"/>
      <c r="DSE13" s="319"/>
      <c r="DSF13" s="319"/>
      <c r="DSG13" s="319"/>
      <c r="DSH13" s="319"/>
      <c r="DSI13" s="319"/>
      <c r="DSJ13" s="319"/>
      <c r="DSK13" s="319"/>
      <c r="DSL13" s="319"/>
      <c r="DSM13" s="319"/>
      <c r="DSN13" s="319"/>
      <c r="DSO13" s="319"/>
      <c r="DSP13" s="319"/>
      <c r="DSQ13" s="319"/>
      <c r="DSR13" s="319"/>
      <c r="DSS13" s="319"/>
      <c r="DST13" s="319"/>
      <c r="DSU13" s="319"/>
      <c r="DSV13" s="319"/>
      <c r="DSW13" s="319"/>
      <c r="DSX13" s="319"/>
      <c r="DSY13" s="319"/>
      <c r="DSZ13" s="319"/>
      <c r="DTA13" s="319"/>
      <c r="DTB13" s="319"/>
      <c r="DTC13" s="319"/>
      <c r="DTD13" s="319"/>
      <c r="DTE13" s="319"/>
      <c r="DTF13" s="319"/>
      <c r="DTG13" s="319"/>
      <c r="DTH13" s="319"/>
      <c r="DTI13" s="319"/>
      <c r="DTJ13" s="319"/>
      <c r="DTK13" s="319"/>
      <c r="DTL13" s="319"/>
      <c r="DTM13" s="319"/>
      <c r="DTN13" s="319"/>
      <c r="DTO13" s="319"/>
      <c r="DTP13" s="319"/>
      <c r="DTQ13" s="319"/>
      <c r="DTR13" s="319"/>
      <c r="DTS13" s="319"/>
      <c r="DTT13" s="319"/>
      <c r="DTU13" s="319"/>
      <c r="DTV13" s="319"/>
      <c r="DTW13" s="319"/>
      <c r="DTX13" s="319"/>
      <c r="DTY13" s="319"/>
      <c r="DTZ13" s="319"/>
      <c r="DUA13" s="319"/>
      <c r="DUB13" s="319"/>
      <c r="DUC13" s="319"/>
      <c r="DUD13" s="319"/>
      <c r="DUE13" s="319"/>
      <c r="DUF13" s="319"/>
      <c r="DUG13" s="319"/>
      <c r="DUH13" s="319"/>
      <c r="DUI13" s="319"/>
      <c r="DUJ13" s="319"/>
      <c r="DUK13" s="319"/>
      <c r="DUL13" s="319"/>
      <c r="DUM13" s="319"/>
      <c r="DUN13" s="319"/>
      <c r="DUO13" s="319"/>
      <c r="DUP13" s="319"/>
      <c r="DUQ13" s="319"/>
      <c r="DUR13" s="319"/>
      <c r="DUS13" s="319"/>
      <c r="DUT13" s="319"/>
      <c r="DUU13" s="319"/>
      <c r="DUV13" s="319"/>
      <c r="DUW13" s="319"/>
      <c r="DUX13" s="319"/>
      <c r="DUY13" s="319"/>
      <c r="DUZ13" s="319"/>
      <c r="DVA13" s="319"/>
      <c r="DVB13" s="319"/>
      <c r="DVC13" s="319"/>
      <c r="DVD13" s="319"/>
      <c r="DVE13" s="319"/>
      <c r="DVF13" s="319"/>
      <c r="DVG13" s="319"/>
      <c r="DVH13" s="319"/>
      <c r="DVI13" s="319"/>
      <c r="DVJ13" s="319"/>
      <c r="DVK13" s="319"/>
      <c r="DVL13" s="319"/>
      <c r="DVM13" s="319"/>
      <c r="DVN13" s="319"/>
      <c r="DVO13" s="319"/>
      <c r="DVP13" s="319"/>
      <c r="DVQ13" s="319"/>
      <c r="DVR13" s="319"/>
      <c r="DVS13" s="319"/>
      <c r="DVT13" s="319"/>
      <c r="DVU13" s="319"/>
      <c r="DVV13" s="319"/>
      <c r="DVW13" s="319"/>
      <c r="DVX13" s="319"/>
      <c r="DVY13" s="319"/>
      <c r="DVZ13" s="319"/>
      <c r="DWA13" s="319"/>
      <c r="DWB13" s="319"/>
      <c r="DWC13" s="319"/>
      <c r="DWD13" s="319"/>
      <c r="DWE13" s="319"/>
      <c r="DWF13" s="319"/>
      <c r="DWG13" s="319"/>
      <c r="DWH13" s="319"/>
      <c r="DWI13" s="319"/>
      <c r="DWJ13" s="319"/>
      <c r="DWK13" s="319"/>
      <c r="DWL13" s="319"/>
      <c r="DWM13" s="319"/>
      <c r="DWN13" s="319"/>
      <c r="DWO13" s="319"/>
      <c r="DWP13" s="319"/>
      <c r="DWQ13" s="319"/>
      <c r="DWR13" s="319"/>
      <c r="DWS13" s="319"/>
      <c r="DWT13" s="319"/>
      <c r="DWU13" s="319"/>
      <c r="DWV13" s="319"/>
      <c r="DWW13" s="319"/>
      <c r="DWX13" s="319"/>
      <c r="DWY13" s="319"/>
      <c r="DWZ13" s="319"/>
      <c r="DXA13" s="319"/>
      <c r="DXB13" s="319"/>
      <c r="DXC13" s="319"/>
      <c r="DXD13" s="319"/>
      <c r="DXE13" s="319"/>
      <c r="DXF13" s="319"/>
      <c r="DXG13" s="319"/>
      <c r="DXH13" s="319"/>
      <c r="DXI13" s="319"/>
      <c r="DXJ13" s="319"/>
      <c r="DXK13" s="319"/>
      <c r="DXL13" s="319"/>
      <c r="DXM13" s="319"/>
      <c r="DXN13" s="319"/>
      <c r="DXO13" s="319"/>
      <c r="DXP13" s="319"/>
      <c r="DXQ13" s="319"/>
      <c r="DXR13" s="319"/>
      <c r="DXS13" s="319"/>
      <c r="DXT13" s="319"/>
      <c r="DXU13" s="319"/>
      <c r="DXV13" s="319"/>
      <c r="DXW13" s="319"/>
      <c r="DXX13" s="319"/>
      <c r="DXY13" s="319"/>
      <c r="DXZ13" s="319"/>
      <c r="DYA13" s="319"/>
      <c r="DYB13" s="319"/>
      <c r="DYC13" s="319"/>
      <c r="DYD13" s="319"/>
      <c r="DYE13" s="319"/>
      <c r="DYF13" s="319"/>
      <c r="DYG13" s="319"/>
      <c r="DYH13" s="319"/>
      <c r="DYI13" s="319"/>
      <c r="DYJ13" s="319"/>
      <c r="DYK13" s="319"/>
      <c r="DYL13" s="319"/>
      <c r="DYM13" s="319"/>
      <c r="DYN13" s="319"/>
      <c r="DYO13" s="319"/>
      <c r="DYP13" s="319"/>
      <c r="DYQ13" s="319"/>
      <c r="DYR13" s="319"/>
      <c r="DYS13" s="319"/>
      <c r="DYT13" s="319"/>
      <c r="DYU13" s="319"/>
      <c r="DYV13" s="319"/>
      <c r="DYW13" s="319"/>
      <c r="DYX13" s="319"/>
      <c r="DYY13" s="319"/>
      <c r="DYZ13" s="319"/>
      <c r="DZA13" s="319"/>
      <c r="DZB13" s="319"/>
      <c r="DZC13" s="319"/>
      <c r="DZD13" s="319"/>
      <c r="DZE13" s="319"/>
      <c r="DZF13" s="319"/>
      <c r="DZG13" s="319"/>
      <c r="DZH13" s="319"/>
      <c r="DZI13" s="319"/>
      <c r="DZJ13" s="319"/>
      <c r="DZK13" s="319"/>
      <c r="DZL13" s="319"/>
      <c r="DZM13" s="319"/>
      <c r="DZN13" s="319"/>
      <c r="DZO13" s="319"/>
      <c r="DZP13" s="319"/>
      <c r="DZQ13" s="319"/>
      <c r="DZR13" s="319"/>
      <c r="DZS13" s="319"/>
      <c r="DZT13" s="319"/>
      <c r="DZU13" s="319"/>
      <c r="DZV13" s="319"/>
      <c r="DZW13" s="319"/>
      <c r="DZX13" s="319"/>
      <c r="DZY13" s="319"/>
      <c r="DZZ13" s="319"/>
      <c r="EAA13" s="319"/>
      <c r="EAB13" s="319"/>
      <c r="EAC13" s="319"/>
      <c r="EAD13" s="319"/>
      <c r="EAE13" s="319"/>
      <c r="EAF13" s="319"/>
      <c r="EAG13" s="319"/>
      <c r="EAH13" s="319"/>
      <c r="EAI13" s="319"/>
      <c r="EAJ13" s="319"/>
      <c r="EAK13" s="319"/>
      <c r="EAL13" s="319"/>
      <c r="EAM13" s="319"/>
      <c r="EAN13" s="319"/>
      <c r="EAO13" s="319"/>
      <c r="EAP13" s="319"/>
      <c r="EAQ13" s="319"/>
      <c r="EAR13" s="319"/>
      <c r="EAS13" s="319"/>
      <c r="EAT13" s="319"/>
      <c r="EAU13" s="319"/>
      <c r="EAV13" s="319"/>
      <c r="EAW13" s="319"/>
      <c r="EAX13" s="319"/>
      <c r="EAY13" s="319"/>
      <c r="EAZ13" s="319"/>
      <c r="EBA13" s="319"/>
      <c r="EBB13" s="319"/>
      <c r="EBC13" s="319"/>
      <c r="EBD13" s="319"/>
      <c r="EBE13" s="319"/>
      <c r="EBF13" s="319"/>
      <c r="EBG13" s="319"/>
      <c r="EBH13" s="319"/>
      <c r="EBI13" s="319"/>
      <c r="EBJ13" s="319"/>
      <c r="EBK13" s="319"/>
      <c r="EBL13" s="319"/>
      <c r="EBM13" s="319"/>
      <c r="EBN13" s="319"/>
      <c r="EBO13" s="319"/>
      <c r="EBP13" s="319"/>
      <c r="EBQ13" s="319"/>
      <c r="EBR13" s="319"/>
      <c r="EBS13" s="319"/>
      <c r="EBT13" s="319"/>
      <c r="EBU13" s="319"/>
      <c r="EBV13" s="319"/>
      <c r="EBW13" s="319"/>
      <c r="EBX13" s="319"/>
      <c r="EBY13" s="319"/>
      <c r="EBZ13" s="319"/>
      <c r="ECA13" s="319"/>
      <c r="ECB13" s="319"/>
      <c r="ECC13" s="319"/>
      <c r="ECD13" s="319"/>
      <c r="ECE13" s="319"/>
      <c r="ECF13" s="319"/>
      <c r="ECG13" s="319"/>
      <c r="ECH13" s="319"/>
      <c r="ECI13" s="319"/>
      <c r="ECJ13" s="319"/>
      <c r="ECK13" s="319"/>
      <c r="ECL13" s="319"/>
      <c r="ECM13" s="319"/>
      <c r="ECN13" s="319"/>
      <c r="ECO13" s="319"/>
      <c r="ECP13" s="319"/>
      <c r="ECQ13" s="319"/>
      <c r="ECR13" s="319"/>
      <c r="ECS13" s="319"/>
      <c r="ECT13" s="319"/>
      <c r="ECU13" s="319"/>
      <c r="ECV13" s="319"/>
      <c r="ECW13" s="319"/>
      <c r="ECX13" s="319"/>
      <c r="ECY13" s="319"/>
      <c r="ECZ13" s="319"/>
      <c r="EDA13" s="319"/>
      <c r="EDB13" s="319"/>
      <c r="EDC13" s="319"/>
      <c r="EDD13" s="319"/>
      <c r="EDE13" s="319"/>
      <c r="EDF13" s="319"/>
      <c r="EDG13" s="319"/>
      <c r="EDH13" s="319"/>
      <c r="EDI13" s="319"/>
      <c r="EDJ13" s="319"/>
      <c r="EDK13" s="319"/>
      <c r="EDL13" s="319"/>
      <c r="EDM13" s="319"/>
      <c r="EDN13" s="319"/>
      <c r="EDO13" s="319"/>
      <c r="EDP13" s="319"/>
      <c r="EDQ13" s="319"/>
      <c r="EDR13" s="319"/>
      <c r="EDS13" s="319"/>
      <c r="EDT13" s="319"/>
      <c r="EDU13" s="319"/>
      <c r="EDV13" s="319"/>
      <c r="EDW13" s="319"/>
      <c r="EDX13" s="319"/>
      <c r="EDY13" s="319"/>
      <c r="EDZ13" s="319"/>
      <c r="EEA13" s="319"/>
      <c r="EEB13" s="319"/>
      <c r="EEC13" s="319"/>
      <c r="EED13" s="319"/>
      <c r="EEE13" s="319"/>
      <c r="EEF13" s="319"/>
      <c r="EEG13" s="319"/>
      <c r="EEH13" s="319"/>
      <c r="EEI13" s="319"/>
      <c r="EEJ13" s="319"/>
      <c r="EEK13" s="319"/>
      <c r="EEL13" s="319"/>
      <c r="EEM13" s="319"/>
      <c r="EEN13" s="319"/>
      <c r="EEO13" s="319"/>
      <c r="EEP13" s="319"/>
      <c r="EEQ13" s="319"/>
      <c r="EER13" s="319"/>
      <c r="EES13" s="319"/>
      <c r="EET13" s="319"/>
      <c r="EEU13" s="319"/>
      <c r="EEV13" s="319"/>
      <c r="EEW13" s="319"/>
      <c r="EEX13" s="319"/>
      <c r="EEY13" s="319"/>
      <c r="EEZ13" s="319"/>
      <c r="EFA13" s="319"/>
      <c r="EFB13" s="319"/>
      <c r="EFC13" s="319"/>
      <c r="EFD13" s="319"/>
      <c r="EFE13" s="319"/>
      <c r="EFF13" s="319"/>
      <c r="EFG13" s="319"/>
      <c r="EFH13" s="319"/>
      <c r="EFI13" s="319"/>
      <c r="EFJ13" s="319"/>
      <c r="EFK13" s="319"/>
      <c r="EFL13" s="319"/>
      <c r="EFM13" s="319"/>
      <c r="EFN13" s="319"/>
      <c r="EFO13" s="319"/>
      <c r="EFP13" s="319"/>
      <c r="EFQ13" s="319"/>
      <c r="EFR13" s="319"/>
      <c r="EFS13" s="319"/>
      <c r="EFT13" s="319"/>
      <c r="EFU13" s="319"/>
      <c r="EFV13" s="319"/>
      <c r="EFW13" s="319"/>
      <c r="EFX13" s="319"/>
      <c r="EFY13" s="319"/>
      <c r="EFZ13" s="319"/>
      <c r="EGA13" s="319"/>
      <c r="EGB13" s="319"/>
      <c r="EGC13" s="319"/>
      <c r="EGD13" s="319"/>
      <c r="EGE13" s="319"/>
      <c r="EGF13" s="319"/>
      <c r="EGG13" s="319"/>
      <c r="EGH13" s="319"/>
      <c r="EGI13" s="319"/>
      <c r="EGJ13" s="319"/>
      <c r="EGK13" s="319"/>
      <c r="EGL13" s="319"/>
      <c r="EGM13" s="319"/>
      <c r="EGN13" s="319"/>
      <c r="EGO13" s="319"/>
      <c r="EGP13" s="319"/>
      <c r="EGQ13" s="319"/>
      <c r="EGR13" s="319"/>
      <c r="EGS13" s="319"/>
      <c r="EGT13" s="319"/>
      <c r="EGU13" s="319"/>
      <c r="EGV13" s="319"/>
      <c r="EGW13" s="319"/>
      <c r="EGX13" s="319"/>
      <c r="EGY13" s="319"/>
      <c r="EGZ13" s="319"/>
      <c r="EHA13" s="319"/>
      <c r="EHB13" s="319"/>
      <c r="EHC13" s="319"/>
      <c r="EHD13" s="319"/>
      <c r="EHE13" s="319"/>
      <c r="EHF13" s="319"/>
      <c r="EHG13" s="319"/>
      <c r="EHH13" s="319"/>
      <c r="EHI13" s="319"/>
      <c r="EHJ13" s="319"/>
      <c r="EHK13" s="319"/>
      <c r="EHL13" s="319"/>
      <c r="EHM13" s="319"/>
      <c r="EHN13" s="319"/>
      <c r="EHO13" s="319"/>
      <c r="EHP13" s="319"/>
      <c r="EHQ13" s="319"/>
      <c r="EHR13" s="319"/>
      <c r="EHS13" s="319"/>
      <c r="EHT13" s="319"/>
      <c r="EHU13" s="319"/>
      <c r="EHV13" s="319"/>
      <c r="EHW13" s="319"/>
      <c r="EHX13" s="319"/>
      <c r="EHY13" s="319"/>
      <c r="EHZ13" s="319"/>
      <c r="EIA13" s="319"/>
      <c r="EIB13" s="319"/>
      <c r="EIC13" s="319"/>
      <c r="EID13" s="319"/>
      <c r="EIE13" s="319"/>
      <c r="EIF13" s="319"/>
      <c r="EIG13" s="319"/>
      <c r="EIH13" s="319"/>
      <c r="EII13" s="319"/>
      <c r="EIJ13" s="319"/>
      <c r="EIK13" s="319"/>
      <c r="EIL13" s="319"/>
      <c r="EIM13" s="319"/>
      <c r="EIN13" s="319"/>
      <c r="EIO13" s="319"/>
      <c r="EIP13" s="319"/>
      <c r="EIQ13" s="319"/>
      <c r="EIR13" s="319"/>
      <c r="EIS13" s="319"/>
      <c r="EIT13" s="319"/>
      <c r="EIU13" s="319"/>
      <c r="EIV13" s="319"/>
      <c r="EIW13" s="319"/>
      <c r="EIX13" s="319"/>
      <c r="EIY13" s="319"/>
      <c r="EIZ13" s="319"/>
      <c r="EJA13" s="319"/>
      <c r="EJB13" s="319"/>
      <c r="EJC13" s="319"/>
      <c r="EJD13" s="319"/>
      <c r="EJE13" s="319"/>
      <c r="EJF13" s="319"/>
      <c r="EJG13" s="319"/>
      <c r="EJH13" s="319"/>
      <c r="EJI13" s="319"/>
      <c r="EJJ13" s="319"/>
      <c r="EJK13" s="319"/>
      <c r="EJL13" s="319"/>
      <c r="EJM13" s="319"/>
      <c r="EJN13" s="319"/>
      <c r="EJO13" s="319"/>
      <c r="EJP13" s="319"/>
      <c r="EJQ13" s="319"/>
      <c r="EJR13" s="319"/>
      <c r="EJS13" s="319"/>
      <c r="EJT13" s="319"/>
      <c r="EJU13" s="319"/>
      <c r="EJV13" s="319"/>
      <c r="EJW13" s="319"/>
      <c r="EJX13" s="319"/>
      <c r="EJY13" s="319"/>
      <c r="EJZ13" s="319"/>
      <c r="EKA13" s="319"/>
      <c r="EKB13" s="319"/>
      <c r="EKC13" s="319"/>
      <c r="EKD13" s="319"/>
      <c r="EKE13" s="319"/>
      <c r="EKF13" s="319"/>
      <c r="EKG13" s="319"/>
      <c r="EKH13" s="319"/>
      <c r="EKI13" s="319"/>
      <c r="EKJ13" s="319"/>
      <c r="EKK13" s="319"/>
      <c r="EKL13" s="319"/>
      <c r="EKM13" s="319"/>
      <c r="EKN13" s="319"/>
      <c r="EKO13" s="319"/>
      <c r="EKP13" s="319"/>
      <c r="EKQ13" s="319"/>
      <c r="EKR13" s="319"/>
      <c r="EKS13" s="319"/>
      <c r="EKT13" s="319"/>
      <c r="EKU13" s="319"/>
      <c r="EKV13" s="319"/>
      <c r="EKW13" s="319"/>
      <c r="EKX13" s="319"/>
      <c r="EKY13" s="319"/>
      <c r="EKZ13" s="319"/>
      <c r="ELA13" s="319"/>
      <c r="ELB13" s="319"/>
      <c r="ELC13" s="319"/>
      <c r="ELD13" s="319"/>
      <c r="ELE13" s="319"/>
      <c r="ELF13" s="319"/>
      <c r="ELG13" s="319"/>
      <c r="ELH13" s="319"/>
      <c r="ELI13" s="319"/>
      <c r="ELJ13" s="319"/>
      <c r="ELK13" s="319"/>
      <c r="ELL13" s="319"/>
      <c r="ELM13" s="319"/>
      <c r="ELN13" s="319"/>
      <c r="ELO13" s="319"/>
      <c r="ELP13" s="319"/>
      <c r="ELQ13" s="319"/>
      <c r="ELR13" s="319"/>
      <c r="ELS13" s="319"/>
      <c r="ELT13" s="319"/>
      <c r="ELU13" s="319"/>
      <c r="ELV13" s="319"/>
      <c r="ELW13" s="319"/>
      <c r="ELX13" s="319"/>
      <c r="ELY13" s="319"/>
      <c r="ELZ13" s="319"/>
      <c r="EMA13" s="319"/>
      <c r="EMB13" s="319"/>
      <c r="EMC13" s="319"/>
      <c r="EMD13" s="319"/>
      <c r="EME13" s="319"/>
      <c r="EMF13" s="319"/>
      <c r="EMG13" s="319"/>
      <c r="EMH13" s="319"/>
      <c r="EMI13" s="319"/>
      <c r="EMJ13" s="319"/>
      <c r="EMK13" s="319"/>
      <c r="EML13" s="319"/>
      <c r="EMM13" s="319"/>
      <c r="EMN13" s="319"/>
      <c r="EMO13" s="319"/>
      <c r="EMP13" s="319"/>
      <c r="EMQ13" s="319"/>
      <c r="EMR13" s="319"/>
      <c r="EMS13" s="319"/>
      <c r="EMT13" s="319"/>
      <c r="EMU13" s="319"/>
      <c r="EMV13" s="319"/>
      <c r="EMW13" s="319"/>
      <c r="EMX13" s="319"/>
      <c r="EMY13" s="319"/>
      <c r="EMZ13" s="319"/>
      <c r="ENA13" s="319"/>
      <c r="ENB13" s="319"/>
      <c r="ENC13" s="319"/>
      <c r="END13" s="319"/>
      <c r="ENE13" s="319"/>
      <c r="ENF13" s="319"/>
      <c r="ENG13" s="319"/>
      <c r="ENH13" s="319"/>
      <c r="ENI13" s="319"/>
      <c r="ENJ13" s="319"/>
      <c r="ENK13" s="319"/>
      <c r="ENL13" s="319"/>
      <c r="ENM13" s="319"/>
      <c r="ENN13" s="319"/>
      <c r="ENO13" s="319"/>
      <c r="ENP13" s="319"/>
      <c r="ENQ13" s="319"/>
      <c r="ENR13" s="319"/>
      <c r="ENS13" s="319"/>
      <c r="ENT13" s="319"/>
      <c r="ENU13" s="319"/>
      <c r="ENV13" s="319"/>
      <c r="ENW13" s="319"/>
      <c r="ENX13" s="319"/>
      <c r="ENY13" s="319"/>
      <c r="ENZ13" s="319"/>
      <c r="EOA13" s="319"/>
      <c r="EOB13" s="319"/>
      <c r="EOC13" s="319"/>
      <c r="EOD13" s="319"/>
      <c r="EOE13" s="319"/>
      <c r="EOF13" s="319"/>
      <c r="EOG13" s="319"/>
      <c r="EOH13" s="319"/>
      <c r="EOI13" s="319"/>
      <c r="EOJ13" s="319"/>
      <c r="EOK13" s="319"/>
      <c r="EOL13" s="319"/>
      <c r="EOM13" s="319"/>
      <c r="EON13" s="319"/>
      <c r="EOO13" s="319"/>
      <c r="EOP13" s="319"/>
      <c r="EOQ13" s="319"/>
      <c r="EOR13" s="319"/>
      <c r="EOS13" s="319"/>
      <c r="EOT13" s="319"/>
      <c r="EOU13" s="319"/>
      <c r="EOV13" s="319"/>
      <c r="EOW13" s="319"/>
      <c r="EOX13" s="319"/>
      <c r="EOY13" s="319"/>
      <c r="EOZ13" s="319"/>
      <c r="EPA13" s="319"/>
      <c r="EPB13" s="319"/>
      <c r="EPC13" s="319"/>
      <c r="EPD13" s="319"/>
      <c r="EPE13" s="319"/>
      <c r="EPF13" s="319"/>
      <c r="EPG13" s="319"/>
      <c r="EPH13" s="319"/>
      <c r="EPI13" s="319"/>
      <c r="EPJ13" s="319"/>
      <c r="EPK13" s="319"/>
      <c r="EPL13" s="319"/>
      <c r="EPM13" s="319"/>
      <c r="EPN13" s="319"/>
      <c r="EPO13" s="319"/>
      <c r="EPP13" s="319"/>
      <c r="EPQ13" s="319"/>
      <c r="EPR13" s="319"/>
      <c r="EPS13" s="319"/>
      <c r="EPT13" s="319"/>
      <c r="EPU13" s="319"/>
      <c r="EPV13" s="319"/>
      <c r="EPW13" s="319"/>
      <c r="EPX13" s="319"/>
      <c r="EPY13" s="319"/>
      <c r="EPZ13" s="319"/>
      <c r="EQA13" s="319"/>
      <c r="EQB13" s="319"/>
      <c r="EQC13" s="319"/>
      <c r="EQD13" s="319"/>
      <c r="EQE13" s="319"/>
      <c r="EQF13" s="319"/>
      <c r="EQG13" s="319"/>
      <c r="EQH13" s="319"/>
      <c r="EQI13" s="319"/>
      <c r="EQJ13" s="319"/>
      <c r="EQK13" s="319"/>
      <c r="EQL13" s="319"/>
      <c r="EQM13" s="319"/>
      <c r="EQN13" s="319"/>
      <c r="EQO13" s="319"/>
      <c r="EQP13" s="319"/>
      <c r="EQQ13" s="319"/>
      <c r="EQR13" s="319"/>
      <c r="EQS13" s="319"/>
      <c r="EQT13" s="319"/>
      <c r="EQU13" s="319"/>
      <c r="EQV13" s="319"/>
      <c r="EQW13" s="319"/>
      <c r="EQX13" s="319"/>
      <c r="EQY13" s="319"/>
      <c r="EQZ13" s="319"/>
      <c r="ERA13" s="319"/>
      <c r="ERB13" s="319"/>
      <c r="ERC13" s="319"/>
      <c r="ERD13" s="319"/>
      <c r="ERE13" s="319"/>
      <c r="ERF13" s="319"/>
      <c r="ERG13" s="319"/>
      <c r="ERH13" s="319"/>
      <c r="ERI13" s="319"/>
      <c r="ERJ13" s="319"/>
      <c r="ERK13" s="319"/>
      <c r="ERL13" s="319"/>
      <c r="ERM13" s="319"/>
      <c r="ERN13" s="319"/>
      <c r="ERO13" s="319"/>
      <c r="ERP13" s="319"/>
      <c r="ERQ13" s="319"/>
      <c r="ERR13" s="319"/>
      <c r="ERS13" s="319"/>
      <c r="ERT13" s="319"/>
      <c r="ERU13" s="319"/>
      <c r="ERV13" s="319"/>
      <c r="ERW13" s="319"/>
      <c r="ERX13" s="319"/>
      <c r="ERY13" s="319"/>
      <c r="ERZ13" s="319"/>
      <c r="ESA13" s="319"/>
      <c r="ESB13" s="319"/>
      <c r="ESC13" s="319"/>
      <c r="ESD13" s="319"/>
      <c r="ESE13" s="319"/>
      <c r="ESF13" s="319"/>
      <c r="ESG13" s="319"/>
      <c r="ESH13" s="319"/>
      <c r="ESI13" s="319"/>
      <c r="ESJ13" s="319"/>
      <c r="ESK13" s="319"/>
      <c r="ESL13" s="319"/>
      <c r="ESM13" s="319"/>
      <c r="ESN13" s="319"/>
      <c r="ESO13" s="319"/>
      <c r="ESP13" s="319"/>
      <c r="ESQ13" s="319"/>
      <c r="ESR13" s="319"/>
      <c r="ESS13" s="319"/>
      <c r="EST13" s="319"/>
      <c r="ESU13" s="319"/>
      <c r="ESV13" s="319"/>
      <c r="ESW13" s="319"/>
      <c r="ESX13" s="319"/>
      <c r="ESY13" s="319"/>
      <c r="ESZ13" s="319"/>
      <c r="ETA13" s="319"/>
      <c r="ETB13" s="319"/>
      <c r="ETC13" s="319"/>
      <c r="ETD13" s="319"/>
      <c r="ETE13" s="319"/>
      <c r="ETF13" s="319"/>
      <c r="ETG13" s="319"/>
      <c r="ETH13" s="319"/>
      <c r="ETI13" s="319"/>
      <c r="ETJ13" s="319"/>
      <c r="ETK13" s="319"/>
      <c r="ETL13" s="319"/>
      <c r="ETM13" s="319"/>
      <c r="ETN13" s="319"/>
      <c r="ETO13" s="319"/>
      <c r="ETP13" s="319"/>
      <c r="ETQ13" s="319"/>
      <c r="ETR13" s="319"/>
      <c r="ETS13" s="319"/>
      <c r="ETT13" s="319"/>
      <c r="ETU13" s="319"/>
      <c r="ETV13" s="319"/>
      <c r="ETW13" s="319"/>
      <c r="ETX13" s="319"/>
      <c r="ETY13" s="319"/>
      <c r="ETZ13" s="319"/>
      <c r="EUA13" s="319"/>
      <c r="EUB13" s="319"/>
      <c r="EUC13" s="319"/>
      <c r="EUD13" s="319"/>
      <c r="EUE13" s="319"/>
      <c r="EUF13" s="319"/>
      <c r="EUG13" s="319"/>
      <c r="EUH13" s="319"/>
      <c r="EUI13" s="319"/>
      <c r="EUJ13" s="319"/>
      <c r="EUK13" s="319"/>
      <c r="EUL13" s="319"/>
      <c r="EUM13" s="319"/>
      <c r="EUN13" s="319"/>
      <c r="EUO13" s="319"/>
      <c r="EUP13" s="319"/>
      <c r="EUQ13" s="319"/>
      <c r="EUR13" s="319"/>
      <c r="EUS13" s="319"/>
      <c r="EUT13" s="319"/>
      <c r="EUU13" s="319"/>
      <c r="EUV13" s="319"/>
      <c r="EUW13" s="319"/>
      <c r="EUX13" s="319"/>
      <c r="EUY13" s="319"/>
      <c r="EUZ13" s="319"/>
      <c r="EVA13" s="319"/>
      <c r="EVB13" s="319"/>
      <c r="EVC13" s="319"/>
      <c r="EVD13" s="319"/>
      <c r="EVE13" s="319"/>
      <c r="EVF13" s="319"/>
      <c r="EVG13" s="319"/>
      <c r="EVH13" s="319"/>
      <c r="EVI13" s="319"/>
      <c r="EVJ13" s="319"/>
      <c r="EVK13" s="319"/>
      <c r="EVL13" s="319"/>
      <c r="EVM13" s="319"/>
      <c r="EVN13" s="319"/>
      <c r="EVO13" s="319"/>
      <c r="EVP13" s="319"/>
      <c r="EVQ13" s="319"/>
      <c r="EVR13" s="319"/>
      <c r="EVS13" s="319"/>
      <c r="EVT13" s="319"/>
      <c r="EVU13" s="319"/>
      <c r="EVV13" s="319"/>
      <c r="EVW13" s="319"/>
      <c r="EVX13" s="319"/>
      <c r="EVY13" s="319"/>
      <c r="EVZ13" s="319"/>
      <c r="EWA13" s="319"/>
      <c r="EWB13" s="319"/>
      <c r="EWC13" s="319"/>
      <c r="EWD13" s="319"/>
      <c r="EWE13" s="319"/>
      <c r="EWF13" s="319"/>
      <c r="EWG13" s="319"/>
      <c r="EWH13" s="319"/>
      <c r="EWI13" s="319"/>
      <c r="EWJ13" s="319"/>
      <c r="EWK13" s="319"/>
      <c r="EWL13" s="319"/>
      <c r="EWM13" s="319"/>
      <c r="EWN13" s="319"/>
      <c r="EWO13" s="319"/>
      <c r="EWP13" s="319"/>
      <c r="EWQ13" s="319"/>
      <c r="EWR13" s="319"/>
      <c r="EWS13" s="319"/>
      <c r="EWT13" s="319"/>
      <c r="EWU13" s="319"/>
      <c r="EWV13" s="319"/>
      <c r="EWW13" s="319"/>
      <c r="EWX13" s="319"/>
      <c r="EWY13" s="319"/>
      <c r="EWZ13" s="319"/>
      <c r="EXA13" s="319"/>
      <c r="EXB13" s="319"/>
      <c r="EXC13" s="319"/>
      <c r="EXD13" s="319"/>
      <c r="EXE13" s="319"/>
      <c r="EXF13" s="319"/>
      <c r="EXG13" s="319"/>
      <c r="EXH13" s="319"/>
      <c r="EXI13" s="319"/>
      <c r="EXJ13" s="319"/>
      <c r="EXK13" s="319"/>
      <c r="EXL13" s="319"/>
      <c r="EXM13" s="319"/>
      <c r="EXN13" s="319"/>
      <c r="EXO13" s="319"/>
      <c r="EXP13" s="319"/>
      <c r="EXQ13" s="319"/>
      <c r="EXR13" s="319"/>
      <c r="EXS13" s="319"/>
      <c r="EXT13" s="319"/>
      <c r="EXU13" s="319"/>
      <c r="EXV13" s="319"/>
      <c r="EXW13" s="319"/>
      <c r="EXX13" s="319"/>
      <c r="EXY13" s="319"/>
      <c r="EXZ13" s="319"/>
      <c r="EYA13" s="319"/>
      <c r="EYB13" s="319"/>
      <c r="EYC13" s="319"/>
      <c r="EYD13" s="319"/>
      <c r="EYE13" s="319"/>
      <c r="EYF13" s="319"/>
      <c r="EYG13" s="319"/>
      <c r="EYH13" s="319"/>
      <c r="EYI13" s="319"/>
      <c r="EYJ13" s="319"/>
      <c r="EYK13" s="319"/>
      <c r="EYL13" s="319"/>
      <c r="EYM13" s="319"/>
      <c r="EYN13" s="319"/>
      <c r="EYO13" s="319"/>
      <c r="EYP13" s="319"/>
      <c r="EYQ13" s="319"/>
      <c r="EYR13" s="319"/>
      <c r="EYS13" s="319"/>
      <c r="EYT13" s="319"/>
      <c r="EYU13" s="319"/>
      <c r="EYV13" s="319"/>
      <c r="EYW13" s="319"/>
      <c r="EYX13" s="319"/>
      <c r="EYY13" s="319"/>
      <c r="EYZ13" s="319"/>
      <c r="EZA13" s="319"/>
      <c r="EZB13" s="319"/>
      <c r="EZC13" s="319"/>
      <c r="EZD13" s="319"/>
      <c r="EZE13" s="319"/>
      <c r="EZF13" s="319"/>
      <c r="EZG13" s="319"/>
      <c r="EZH13" s="319"/>
      <c r="EZI13" s="319"/>
      <c r="EZJ13" s="319"/>
      <c r="EZK13" s="319"/>
      <c r="EZL13" s="319"/>
      <c r="EZM13" s="319"/>
      <c r="EZN13" s="319"/>
      <c r="EZO13" s="319"/>
      <c r="EZP13" s="319"/>
      <c r="EZQ13" s="319"/>
      <c r="EZR13" s="319"/>
      <c r="EZS13" s="319"/>
      <c r="EZT13" s="319"/>
      <c r="EZU13" s="319"/>
      <c r="EZV13" s="319"/>
      <c r="EZW13" s="319"/>
      <c r="EZX13" s="319"/>
      <c r="EZY13" s="319"/>
      <c r="EZZ13" s="319"/>
      <c r="FAA13" s="319"/>
      <c r="FAB13" s="319"/>
      <c r="FAC13" s="319"/>
      <c r="FAD13" s="319"/>
      <c r="FAE13" s="319"/>
      <c r="FAF13" s="319"/>
      <c r="FAG13" s="319"/>
      <c r="FAH13" s="319"/>
      <c r="FAI13" s="319"/>
      <c r="FAJ13" s="319"/>
      <c r="FAK13" s="319"/>
      <c r="FAL13" s="319"/>
      <c r="FAM13" s="319"/>
      <c r="FAN13" s="319"/>
      <c r="FAO13" s="319"/>
      <c r="FAP13" s="319"/>
      <c r="FAQ13" s="319"/>
      <c r="FAR13" s="319"/>
      <c r="FAS13" s="319"/>
      <c r="FAT13" s="319"/>
      <c r="FAU13" s="319"/>
      <c r="FAV13" s="319"/>
      <c r="FAW13" s="319"/>
      <c r="FAX13" s="319"/>
      <c r="FAY13" s="319"/>
      <c r="FAZ13" s="319"/>
      <c r="FBA13" s="319"/>
      <c r="FBB13" s="319"/>
      <c r="FBC13" s="319"/>
      <c r="FBD13" s="319"/>
      <c r="FBE13" s="319"/>
      <c r="FBF13" s="319"/>
      <c r="FBG13" s="319"/>
      <c r="FBH13" s="319"/>
      <c r="FBI13" s="319"/>
      <c r="FBJ13" s="319"/>
      <c r="FBK13" s="319"/>
      <c r="FBL13" s="319"/>
      <c r="FBM13" s="319"/>
      <c r="FBN13" s="319"/>
      <c r="FBO13" s="319"/>
      <c r="FBP13" s="319"/>
      <c r="FBQ13" s="319"/>
      <c r="FBR13" s="319"/>
      <c r="FBS13" s="319"/>
      <c r="FBT13" s="319"/>
      <c r="FBU13" s="319"/>
      <c r="FBV13" s="319"/>
      <c r="FBW13" s="319"/>
      <c r="FBX13" s="319"/>
      <c r="FBY13" s="319"/>
      <c r="FBZ13" s="319"/>
      <c r="FCA13" s="319"/>
      <c r="FCB13" s="319"/>
      <c r="FCC13" s="319"/>
      <c r="FCD13" s="319"/>
      <c r="FCE13" s="319"/>
      <c r="FCF13" s="319"/>
      <c r="FCG13" s="319"/>
      <c r="FCH13" s="319"/>
      <c r="FCI13" s="319"/>
      <c r="FCJ13" s="319"/>
      <c r="FCK13" s="319"/>
      <c r="FCL13" s="319"/>
      <c r="FCM13" s="319"/>
      <c r="FCN13" s="319"/>
      <c r="FCO13" s="319"/>
      <c r="FCP13" s="319"/>
      <c r="FCQ13" s="319"/>
      <c r="FCR13" s="319"/>
      <c r="FCS13" s="319"/>
      <c r="FCT13" s="319"/>
      <c r="FCU13" s="319"/>
      <c r="FCV13" s="319"/>
      <c r="FCW13" s="319"/>
      <c r="FCX13" s="319"/>
      <c r="FCY13" s="319"/>
      <c r="FCZ13" s="319"/>
      <c r="FDA13" s="319"/>
      <c r="FDB13" s="319"/>
      <c r="FDC13" s="319"/>
      <c r="FDD13" s="319"/>
      <c r="FDE13" s="319"/>
      <c r="FDF13" s="319"/>
      <c r="FDG13" s="319"/>
      <c r="FDH13" s="319"/>
      <c r="FDI13" s="319"/>
      <c r="FDJ13" s="319"/>
      <c r="FDK13" s="319"/>
      <c r="FDL13" s="319"/>
      <c r="FDM13" s="319"/>
      <c r="FDN13" s="319"/>
      <c r="FDO13" s="319"/>
      <c r="FDP13" s="319"/>
      <c r="FDQ13" s="319"/>
      <c r="FDR13" s="319"/>
      <c r="FDS13" s="319"/>
      <c r="FDT13" s="319"/>
      <c r="FDU13" s="319"/>
      <c r="FDV13" s="319"/>
      <c r="FDW13" s="319"/>
      <c r="FDX13" s="319"/>
      <c r="FDY13" s="319"/>
      <c r="FDZ13" s="319"/>
      <c r="FEA13" s="319"/>
      <c r="FEB13" s="319"/>
      <c r="FEC13" s="319"/>
      <c r="FED13" s="319"/>
      <c r="FEE13" s="319"/>
      <c r="FEF13" s="319"/>
      <c r="FEG13" s="319"/>
      <c r="FEH13" s="319"/>
      <c r="FEI13" s="319"/>
      <c r="FEJ13" s="319"/>
      <c r="FEK13" s="319"/>
      <c r="FEL13" s="319"/>
      <c r="FEM13" s="319"/>
      <c r="FEN13" s="319"/>
      <c r="FEO13" s="319"/>
      <c r="FEP13" s="319"/>
      <c r="FEQ13" s="319"/>
      <c r="FER13" s="319"/>
      <c r="FES13" s="319"/>
      <c r="FET13" s="319"/>
      <c r="FEU13" s="319"/>
      <c r="FEV13" s="319"/>
      <c r="FEW13" s="319"/>
      <c r="FEX13" s="319"/>
      <c r="FEY13" s="319"/>
      <c r="FEZ13" s="319"/>
      <c r="FFA13" s="319"/>
      <c r="FFB13" s="319"/>
      <c r="FFC13" s="319"/>
      <c r="FFD13" s="319"/>
      <c r="FFE13" s="319"/>
      <c r="FFF13" s="319"/>
      <c r="FFG13" s="319"/>
      <c r="FFH13" s="319"/>
      <c r="FFI13" s="319"/>
      <c r="FFJ13" s="319"/>
      <c r="FFK13" s="319"/>
      <c r="FFL13" s="319"/>
      <c r="FFM13" s="319"/>
      <c r="FFN13" s="319"/>
      <c r="FFO13" s="319"/>
      <c r="FFP13" s="319"/>
      <c r="FFQ13" s="319"/>
      <c r="FFR13" s="319"/>
      <c r="FFS13" s="319"/>
      <c r="FFT13" s="319"/>
      <c r="FFU13" s="319"/>
      <c r="FFV13" s="319"/>
      <c r="FFW13" s="319"/>
      <c r="FFX13" s="319"/>
      <c r="FFY13" s="319"/>
      <c r="FFZ13" s="319"/>
      <c r="FGA13" s="319"/>
      <c r="FGB13" s="319"/>
      <c r="FGC13" s="319"/>
      <c r="FGD13" s="319"/>
      <c r="FGE13" s="319"/>
      <c r="FGF13" s="319"/>
      <c r="FGG13" s="319"/>
      <c r="FGH13" s="319"/>
      <c r="FGI13" s="319"/>
      <c r="FGJ13" s="319"/>
      <c r="FGK13" s="319"/>
      <c r="FGL13" s="319"/>
      <c r="FGM13" s="319"/>
      <c r="FGN13" s="319"/>
      <c r="FGO13" s="319"/>
      <c r="FGP13" s="319"/>
      <c r="FGQ13" s="319"/>
      <c r="FGR13" s="319"/>
      <c r="FGS13" s="319"/>
      <c r="FGT13" s="319"/>
      <c r="FGU13" s="319"/>
      <c r="FGV13" s="319"/>
      <c r="FGW13" s="319"/>
      <c r="FGX13" s="319"/>
      <c r="FGY13" s="319"/>
      <c r="FGZ13" s="319"/>
      <c r="FHA13" s="319"/>
      <c r="FHB13" s="319"/>
      <c r="FHC13" s="319"/>
      <c r="FHD13" s="319"/>
      <c r="FHE13" s="319"/>
      <c r="FHF13" s="319"/>
      <c r="FHG13" s="319"/>
      <c r="FHH13" s="319"/>
      <c r="FHI13" s="319"/>
      <c r="FHJ13" s="319"/>
      <c r="FHK13" s="319"/>
      <c r="FHL13" s="319"/>
      <c r="FHM13" s="319"/>
      <c r="FHN13" s="319"/>
      <c r="FHO13" s="319"/>
      <c r="FHP13" s="319"/>
      <c r="FHQ13" s="319"/>
      <c r="FHR13" s="319"/>
      <c r="FHS13" s="319"/>
      <c r="FHT13" s="319"/>
      <c r="FHU13" s="319"/>
      <c r="FHV13" s="319"/>
      <c r="FHW13" s="319"/>
      <c r="FHX13" s="319"/>
      <c r="FHY13" s="319"/>
      <c r="FHZ13" s="319"/>
      <c r="FIA13" s="319"/>
      <c r="FIB13" s="319"/>
      <c r="FIC13" s="319"/>
      <c r="FID13" s="319"/>
      <c r="FIE13" s="319"/>
      <c r="FIF13" s="319"/>
      <c r="FIG13" s="319"/>
      <c r="FIH13" s="319"/>
      <c r="FII13" s="319"/>
      <c r="FIJ13" s="319"/>
      <c r="FIK13" s="319"/>
      <c r="FIL13" s="319"/>
      <c r="FIM13" s="319"/>
      <c r="FIN13" s="319"/>
      <c r="FIO13" s="319"/>
      <c r="FIP13" s="319"/>
      <c r="FIQ13" s="319"/>
      <c r="FIR13" s="319"/>
      <c r="FIS13" s="319"/>
      <c r="FIT13" s="319"/>
      <c r="FIU13" s="319"/>
      <c r="FIV13" s="319"/>
      <c r="FIW13" s="319"/>
      <c r="FIX13" s="319"/>
      <c r="FIY13" s="319"/>
      <c r="FIZ13" s="319"/>
      <c r="FJA13" s="319"/>
      <c r="FJB13" s="319"/>
      <c r="FJC13" s="319"/>
      <c r="FJD13" s="319"/>
      <c r="FJE13" s="319"/>
      <c r="FJF13" s="319"/>
      <c r="FJG13" s="319"/>
      <c r="FJH13" s="319"/>
      <c r="FJI13" s="319"/>
      <c r="FJJ13" s="319"/>
      <c r="FJK13" s="319"/>
      <c r="FJL13" s="319"/>
      <c r="FJM13" s="319"/>
      <c r="FJN13" s="319"/>
      <c r="FJO13" s="319"/>
      <c r="FJP13" s="319"/>
      <c r="FJQ13" s="319"/>
      <c r="FJR13" s="319"/>
      <c r="FJS13" s="319"/>
      <c r="FJT13" s="319"/>
      <c r="FJU13" s="319"/>
      <c r="FJV13" s="319"/>
      <c r="FJW13" s="319"/>
      <c r="FJX13" s="319"/>
      <c r="FJY13" s="319"/>
      <c r="FJZ13" s="319"/>
      <c r="FKA13" s="319"/>
      <c r="FKB13" s="319"/>
      <c r="FKC13" s="319"/>
      <c r="FKD13" s="319"/>
      <c r="FKE13" s="319"/>
      <c r="FKF13" s="319"/>
      <c r="FKG13" s="319"/>
      <c r="FKH13" s="319"/>
      <c r="FKI13" s="319"/>
      <c r="FKJ13" s="319"/>
      <c r="FKK13" s="319"/>
      <c r="FKL13" s="319"/>
      <c r="FKM13" s="319"/>
      <c r="FKN13" s="319"/>
      <c r="FKO13" s="319"/>
      <c r="FKP13" s="319"/>
      <c r="FKQ13" s="319"/>
      <c r="FKR13" s="319"/>
      <c r="FKS13" s="319"/>
      <c r="FKT13" s="319"/>
      <c r="FKU13" s="319"/>
      <c r="FKV13" s="319"/>
      <c r="FKW13" s="319"/>
      <c r="FKX13" s="319"/>
      <c r="FKY13" s="319"/>
      <c r="FKZ13" s="319"/>
      <c r="FLA13" s="319"/>
      <c r="FLB13" s="319"/>
      <c r="FLC13" s="319"/>
      <c r="FLD13" s="319"/>
      <c r="FLE13" s="319"/>
      <c r="FLF13" s="319"/>
      <c r="FLG13" s="319"/>
      <c r="FLH13" s="319"/>
      <c r="FLI13" s="319"/>
      <c r="FLJ13" s="319"/>
      <c r="FLK13" s="319"/>
      <c r="FLL13" s="319"/>
      <c r="FLM13" s="319"/>
      <c r="FLN13" s="319"/>
      <c r="FLO13" s="319"/>
      <c r="FLP13" s="319"/>
      <c r="FLQ13" s="319"/>
      <c r="FLR13" s="319"/>
      <c r="FLS13" s="319"/>
      <c r="FLT13" s="319"/>
      <c r="FLU13" s="319"/>
      <c r="FLV13" s="319"/>
      <c r="FLW13" s="319"/>
      <c r="FLX13" s="319"/>
      <c r="FLY13" s="319"/>
      <c r="FLZ13" s="319"/>
      <c r="FMA13" s="319"/>
      <c r="FMB13" s="319"/>
      <c r="FMC13" s="319"/>
      <c r="FMD13" s="319"/>
      <c r="FME13" s="319"/>
      <c r="FMF13" s="319"/>
      <c r="FMG13" s="319"/>
      <c r="FMH13" s="319"/>
      <c r="FMI13" s="319"/>
      <c r="FMJ13" s="319"/>
      <c r="FMK13" s="319"/>
      <c r="FML13" s="319"/>
      <c r="FMM13" s="319"/>
      <c r="FMN13" s="319"/>
      <c r="FMO13" s="319"/>
      <c r="FMP13" s="319"/>
      <c r="FMQ13" s="319"/>
      <c r="FMR13" s="319"/>
      <c r="FMS13" s="319"/>
      <c r="FMT13" s="319"/>
      <c r="FMU13" s="319"/>
      <c r="FMV13" s="319"/>
      <c r="FMW13" s="319"/>
      <c r="FMX13" s="319"/>
      <c r="FMY13" s="319"/>
      <c r="FMZ13" s="319"/>
      <c r="FNA13" s="319"/>
      <c r="FNB13" s="319"/>
      <c r="FNC13" s="319"/>
      <c r="FND13" s="319"/>
      <c r="FNE13" s="319"/>
      <c r="FNF13" s="319"/>
      <c r="FNG13" s="319"/>
      <c r="FNH13" s="319"/>
      <c r="FNI13" s="319"/>
      <c r="FNJ13" s="319"/>
      <c r="FNK13" s="319"/>
      <c r="FNL13" s="319"/>
      <c r="FNM13" s="319"/>
      <c r="FNN13" s="319"/>
      <c r="FNO13" s="319"/>
      <c r="FNP13" s="319"/>
      <c r="FNQ13" s="319"/>
      <c r="FNR13" s="319"/>
      <c r="FNS13" s="319"/>
      <c r="FNT13" s="319"/>
      <c r="FNU13" s="319"/>
      <c r="FNV13" s="319"/>
      <c r="FNW13" s="319"/>
      <c r="FNX13" s="319"/>
      <c r="FNY13" s="319"/>
      <c r="FNZ13" s="319"/>
      <c r="FOA13" s="319"/>
      <c r="FOB13" s="319"/>
      <c r="FOC13" s="319"/>
      <c r="FOD13" s="319"/>
      <c r="FOE13" s="319"/>
      <c r="FOF13" s="319"/>
      <c r="FOG13" s="319"/>
      <c r="FOH13" s="319"/>
      <c r="FOI13" s="319"/>
      <c r="FOJ13" s="319"/>
      <c r="FOK13" s="319"/>
      <c r="FOL13" s="319"/>
      <c r="FOM13" s="319"/>
      <c r="FON13" s="319"/>
      <c r="FOO13" s="319"/>
      <c r="FOP13" s="319"/>
      <c r="FOQ13" s="319"/>
      <c r="FOR13" s="319"/>
      <c r="FOS13" s="319"/>
      <c r="FOT13" s="319"/>
      <c r="FOU13" s="319"/>
      <c r="FOV13" s="319"/>
      <c r="FOW13" s="319"/>
      <c r="FOX13" s="319"/>
      <c r="FOY13" s="319"/>
      <c r="FOZ13" s="319"/>
      <c r="FPA13" s="319"/>
      <c r="FPB13" s="319"/>
      <c r="FPC13" s="319"/>
      <c r="FPD13" s="319"/>
      <c r="FPE13" s="319"/>
      <c r="FPF13" s="319"/>
      <c r="FPG13" s="319"/>
      <c r="FPH13" s="319"/>
      <c r="FPI13" s="319"/>
      <c r="FPJ13" s="319"/>
      <c r="FPK13" s="319"/>
      <c r="FPL13" s="319"/>
      <c r="FPM13" s="319"/>
      <c r="FPN13" s="319"/>
      <c r="FPO13" s="319"/>
      <c r="FPP13" s="319"/>
      <c r="FPQ13" s="319"/>
      <c r="FPR13" s="319"/>
      <c r="FPS13" s="319"/>
      <c r="FPT13" s="319"/>
      <c r="FPU13" s="319"/>
      <c r="FPV13" s="319"/>
      <c r="FPW13" s="319"/>
      <c r="FPX13" s="319"/>
      <c r="FPY13" s="319"/>
      <c r="FPZ13" s="319"/>
      <c r="FQA13" s="319"/>
      <c r="FQB13" s="319"/>
      <c r="FQC13" s="319"/>
      <c r="FQD13" s="319"/>
      <c r="FQE13" s="319"/>
      <c r="FQF13" s="319"/>
      <c r="FQG13" s="319"/>
      <c r="FQH13" s="319"/>
      <c r="FQI13" s="319"/>
      <c r="FQJ13" s="319"/>
      <c r="FQK13" s="319"/>
      <c r="FQL13" s="319"/>
      <c r="FQM13" s="319"/>
      <c r="FQN13" s="319"/>
      <c r="FQO13" s="319"/>
      <c r="FQP13" s="319"/>
      <c r="FQQ13" s="319"/>
      <c r="FQR13" s="319"/>
      <c r="FQS13" s="319"/>
      <c r="FQT13" s="319"/>
      <c r="FQU13" s="319"/>
      <c r="FQV13" s="319"/>
      <c r="FQW13" s="319"/>
      <c r="FQX13" s="319"/>
      <c r="FQY13" s="319"/>
      <c r="FQZ13" s="319"/>
      <c r="FRA13" s="319"/>
      <c r="FRB13" s="319"/>
      <c r="FRC13" s="319"/>
      <c r="FRD13" s="319"/>
      <c r="FRE13" s="319"/>
      <c r="FRF13" s="319"/>
      <c r="FRG13" s="319"/>
      <c r="FRH13" s="319"/>
      <c r="FRI13" s="319"/>
      <c r="FRJ13" s="319"/>
      <c r="FRK13" s="319"/>
      <c r="FRL13" s="319"/>
      <c r="FRM13" s="319"/>
      <c r="FRN13" s="319"/>
      <c r="FRO13" s="319"/>
      <c r="FRP13" s="319"/>
      <c r="FRQ13" s="319"/>
      <c r="FRR13" s="319"/>
      <c r="FRS13" s="319"/>
      <c r="FRT13" s="319"/>
      <c r="FRU13" s="319"/>
      <c r="FRV13" s="319"/>
      <c r="FRW13" s="319"/>
      <c r="FRX13" s="319"/>
      <c r="FRY13" s="319"/>
      <c r="FRZ13" s="319"/>
      <c r="FSA13" s="319"/>
      <c r="FSB13" s="319"/>
      <c r="FSC13" s="319"/>
      <c r="FSD13" s="319"/>
      <c r="FSE13" s="319"/>
      <c r="FSF13" s="319"/>
      <c r="FSG13" s="319"/>
      <c r="FSH13" s="319"/>
      <c r="FSI13" s="319"/>
      <c r="FSJ13" s="319"/>
      <c r="FSK13" s="319"/>
      <c r="FSL13" s="319"/>
      <c r="FSM13" s="319"/>
      <c r="FSN13" s="319"/>
      <c r="FSO13" s="319"/>
      <c r="FSP13" s="319"/>
      <c r="FSQ13" s="319"/>
      <c r="FSR13" s="319"/>
      <c r="FSS13" s="319"/>
      <c r="FST13" s="319"/>
      <c r="FSU13" s="319"/>
      <c r="FSV13" s="319"/>
      <c r="FSW13" s="319"/>
      <c r="FSX13" s="319"/>
      <c r="FSY13" s="319"/>
      <c r="FSZ13" s="319"/>
      <c r="FTA13" s="319"/>
      <c r="FTB13" s="319"/>
      <c r="FTC13" s="319"/>
      <c r="FTD13" s="319"/>
      <c r="FTE13" s="319"/>
      <c r="FTF13" s="319"/>
      <c r="FTG13" s="319"/>
      <c r="FTH13" s="319"/>
      <c r="FTI13" s="319"/>
      <c r="FTJ13" s="319"/>
      <c r="FTK13" s="319"/>
      <c r="FTL13" s="319"/>
      <c r="FTM13" s="319"/>
      <c r="FTN13" s="319"/>
      <c r="FTO13" s="319"/>
      <c r="FTP13" s="319"/>
      <c r="FTQ13" s="319"/>
      <c r="FTR13" s="319"/>
      <c r="FTS13" s="319"/>
      <c r="FTT13" s="319"/>
      <c r="FTU13" s="319"/>
      <c r="FTV13" s="319"/>
      <c r="FTW13" s="319"/>
      <c r="FTX13" s="319"/>
      <c r="FTY13" s="319"/>
      <c r="FTZ13" s="319"/>
      <c r="FUA13" s="319"/>
      <c r="FUB13" s="319"/>
      <c r="FUC13" s="319"/>
      <c r="FUD13" s="319"/>
      <c r="FUE13" s="319"/>
      <c r="FUF13" s="319"/>
      <c r="FUG13" s="319"/>
      <c r="FUH13" s="319"/>
      <c r="FUI13" s="319"/>
      <c r="FUJ13" s="319"/>
      <c r="FUK13" s="319"/>
      <c r="FUL13" s="319"/>
      <c r="FUM13" s="319"/>
      <c r="FUN13" s="319"/>
      <c r="FUO13" s="319"/>
      <c r="FUP13" s="319"/>
      <c r="FUQ13" s="319"/>
      <c r="FUR13" s="319"/>
      <c r="FUS13" s="319"/>
      <c r="FUT13" s="319"/>
      <c r="FUU13" s="319"/>
      <c r="FUV13" s="319"/>
      <c r="FUW13" s="319"/>
      <c r="FUX13" s="319"/>
      <c r="FUY13" s="319"/>
      <c r="FUZ13" s="319"/>
      <c r="FVA13" s="319"/>
      <c r="FVB13" s="319"/>
      <c r="FVC13" s="319"/>
      <c r="FVD13" s="319"/>
      <c r="FVE13" s="319"/>
      <c r="FVF13" s="319"/>
      <c r="FVG13" s="319"/>
      <c r="FVH13" s="319"/>
      <c r="FVI13" s="319"/>
      <c r="FVJ13" s="319"/>
      <c r="FVK13" s="319"/>
      <c r="FVL13" s="319"/>
      <c r="FVM13" s="319"/>
      <c r="FVN13" s="319"/>
      <c r="FVO13" s="319"/>
      <c r="FVP13" s="319"/>
      <c r="FVQ13" s="319"/>
      <c r="FVR13" s="319"/>
      <c r="FVS13" s="319"/>
      <c r="FVT13" s="319"/>
      <c r="FVU13" s="319"/>
      <c r="FVV13" s="319"/>
      <c r="FVW13" s="319"/>
      <c r="FVX13" s="319"/>
      <c r="FVY13" s="319"/>
      <c r="FVZ13" s="319"/>
      <c r="FWA13" s="319"/>
      <c r="FWB13" s="319"/>
      <c r="FWC13" s="319"/>
      <c r="FWD13" s="319"/>
      <c r="FWE13" s="319"/>
      <c r="FWF13" s="319"/>
      <c r="FWG13" s="319"/>
      <c r="FWH13" s="319"/>
      <c r="FWI13" s="319"/>
      <c r="FWJ13" s="319"/>
      <c r="FWK13" s="319"/>
      <c r="FWL13" s="319"/>
      <c r="FWM13" s="319"/>
      <c r="FWN13" s="319"/>
      <c r="FWO13" s="319"/>
      <c r="FWP13" s="319"/>
      <c r="FWQ13" s="319"/>
      <c r="FWR13" s="319"/>
      <c r="FWS13" s="319"/>
      <c r="FWT13" s="319"/>
      <c r="FWU13" s="319"/>
      <c r="FWV13" s="319"/>
      <c r="FWW13" s="319"/>
      <c r="FWX13" s="319"/>
      <c r="FWY13" s="319"/>
      <c r="FWZ13" s="319"/>
      <c r="FXA13" s="319"/>
      <c r="FXB13" s="319"/>
      <c r="FXC13" s="319"/>
      <c r="FXD13" s="319"/>
      <c r="FXE13" s="319"/>
      <c r="FXF13" s="319"/>
      <c r="FXG13" s="319"/>
      <c r="FXH13" s="319"/>
      <c r="FXI13" s="319"/>
      <c r="FXJ13" s="319"/>
      <c r="FXK13" s="319"/>
      <c r="FXL13" s="319"/>
      <c r="FXM13" s="319"/>
      <c r="FXN13" s="319"/>
      <c r="FXO13" s="319"/>
      <c r="FXP13" s="319"/>
      <c r="FXQ13" s="319"/>
      <c r="FXR13" s="319"/>
      <c r="FXS13" s="319"/>
      <c r="FXT13" s="319"/>
      <c r="FXU13" s="319"/>
      <c r="FXV13" s="319"/>
      <c r="FXW13" s="319"/>
      <c r="FXX13" s="319"/>
      <c r="FXY13" s="319"/>
      <c r="FXZ13" s="319"/>
      <c r="FYA13" s="319"/>
      <c r="FYB13" s="319"/>
      <c r="FYC13" s="319"/>
      <c r="FYD13" s="319"/>
      <c r="FYE13" s="319"/>
      <c r="FYF13" s="319"/>
      <c r="FYG13" s="319"/>
      <c r="FYH13" s="319"/>
      <c r="FYI13" s="319"/>
      <c r="FYJ13" s="319"/>
      <c r="FYK13" s="319"/>
      <c r="FYL13" s="319"/>
      <c r="FYM13" s="319"/>
      <c r="FYN13" s="319"/>
      <c r="FYO13" s="319"/>
      <c r="FYP13" s="319"/>
      <c r="FYQ13" s="319"/>
      <c r="FYR13" s="319"/>
      <c r="FYS13" s="319"/>
      <c r="FYT13" s="319"/>
      <c r="FYU13" s="319"/>
      <c r="FYV13" s="319"/>
      <c r="FYW13" s="319"/>
      <c r="FYX13" s="319"/>
      <c r="FYY13" s="319"/>
      <c r="FYZ13" s="319"/>
      <c r="FZA13" s="319"/>
      <c r="FZB13" s="319"/>
      <c r="FZC13" s="319"/>
      <c r="FZD13" s="319"/>
      <c r="FZE13" s="319"/>
      <c r="FZF13" s="319"/>
      <c r="FZG13" s="319"/>
      <c r="FZH13" s="319"/>
      <c r="FZI13" s="319"/>
      <c r="FZJ13" s="319"/>
      <c r="FZK13" s="319"/>
      <c r="FZL13" s="319"/>
      <c r="FZM13" s="319"/>
      <c r="FZN13" s="319"/>
      <c r="FZO13" s="319"/>
      <c r="FZP13" s="319"/>
      <c r="FZQ13" s="319"/>
      <c r="FZR13" s="319"/>
      <c r="FZS13" s="319"/>
      <c r="FZT13" s="319"/>
      <c r="FZU13" s="319"/>
      <c r="FZV13" s="319"/>
      <c r="FZW13" s="319"/>
      <c r="FZX13" s="319"/>
      <c r="FZY13" s="319"/>
      <c r="FZZ13" s="319"/>
      <c r="GAA13" s="319"/>
      <c r="GAB13" s="319"/>
      <c r="GAC13" s="319"/>
      <c r="GAD13" s="319"/>
      <c r="GAE13" s="319"/>
      <c r="GAF13" s="319"/>
      <c r="GAG13" s="319"/>
      <c r="GAH13" s="319"/>
      <c r="GAI13" s="319"/>
      <c r="GAJ13" s="319"/>
      <c r="GAK13" s="319"/>
      <c r="GAL13" s="319"/>
      <c r="GAM13" s="319"/>
      <c r="GAN13" s="319"/>
      <c r="GAO13" s="319"/>
      <c r="GAP13" s="319"/>
      <c r="GAQ13" s="319"/>
      <c r="GAR13" s="319"/>
      <c r="GAS13" s="319"/>
      <c r="GAT13" s="319"/>
      <c r="GAU13" s="319"/>
      <c r="GAV13" s="319"/>
      <c r="GAW13" s="319"/>
      <c r="GAX13" s="319"/>
      <c r="GAY13" s="319"/>
      <c r="GAZ13" s="319"/>
      <c r="GBA13" s="319"/>
      <c r="GBB13" s="319"/>
      <c r="GBC13" s="319"/>
      <c r="GBD13" s="319"/>
      <c r="GBE13" s="319"/>
      <c r="GBF13" s="319"/>
      <c r="GBG13" s="319"/>
      <c r="GBH13" s="319"/>
      <c r="GBI13" s="319"/>
      <c r="GBJ13" s="319"/>
      <c r="GBK13" s="319"/>
      <c r="GBL13" s="319"/>
      <c r="GBM13" s="319"/>
      <c r="GBN13" s="319"/>
      <c r="GBO13" s="319"/>
      <c r="GBP13" s="319"/>
      <c r="GBQ13" s="319"/>
      <c r="GBR13" s="319"/>
      <c r="GBS13" s="319"/>
      <c r="GBT13" s="319"/>
      <c r="GBU13" s="319"/>
      <c r="GBV13" s="319"/>
      <c r="GBW13" s="319"/>
      <c r="GBX13" s="319"/>
      <c r="GBY13" s="319"/>
      <c r="GBZ13" s="319"/>
      <c r="GCA13" s="319"/>
      <c r="GCB13" s="319"/>
      <c r="GCC13" s="319"/>
      <c r="GCD13" s="319"/>
      <c r="GCE13" s="319"/>
      <c r="GCF13" s="319"/>
      <c r="GCG13" s="319"/>
      <c r="GCH13" s="319"/>
      <c r="GCI13" s="319"/>
      <c r="GCJ13" s="319"/>
      <c r="GCK13" s="319"/>
      <c r="GCL13" s="319"/>
      <c r="GCM13" s="319"/>
      <c r="GCN13" s="319"/>
      <c r="GCO13" s="319"/>
      <c r="GCP13" s="319"/>
      <c r="GCQ13" s="319"/>
      <c r="GCR13" s="319"/>
      <c r="GCS13" s="319"/>
      <c r="GCT13" s="319"/>
      <c r="GCU13" s="319"/>
      <c r="GCV13" s="319"/>
      <c r="GCW13" s="319"/>
      <c r="GCX13" s="319"/>
      <c r="GCY13" s="319"/>
      <c r="GCZ13" s="319"/>
      <c r="GDA13" s="319"/>
      <c r="GDB13" s="319"/>
      <c r="GDC13" s="319"/>
      <c r="GDD13" s="319"/>
      <c r="GDE13" s="319"/>
      <c r="GDF13" s="319"/>
      <c r="GDG13" s="319"/>
      <c r="GDH13" s="319"/>
      <c r="GDI13" s="319"/>
      <c r="GDJ13" s="319"/>
      <c r="GDK13" s="319"/>
      <c r="GDL13" s="319"/>
      <c r="GDM13" s="319"/>
      <c r="GDN13" s="319"/>
      <c r="GDO13" s="319"/>
      <c r="GDP13" s="319"/>
      <c r="GDQ13" s="319"/>
      <c r="GDR13" s="319"/>
      <c r="GDS13" s="319"/>
      <c r="GDT13" s="319"/>
      <c r="GDU13" s="319"/>
      <c r="GDV13" s="319"/>
      <c r="GDW13" s="319"/>
      <c r="GDX13" s="319"/>
      <c r="GDY13" s="319"/>
      <c r="GDZ13" s="319"/>
      <c r="GEA13" s="319"/>
      <c r="GEB13" s="319"/>
      <c r="GEC13" s="319"/>
      <c r="GED13" s="319"/>
      <c r="GEE13" s="319"/>
      <c r="GEF13" s="319"/>
      <c r="GEG13" s="319"/>
      <c r="GEH13" s="319"/>
      <c r="GEI13" s="319"/>
      <c r="GEJ13" s="319"/>
      <c r="GEK13" s="319"/>
      <c r="GEL13" s="319"/>
      <c r="GEM13" s="319"/>
      <c r="GEN13" s="319"/>
      <c r="GEO13" s="319"/>
      <c r="GEP13" s="319"/>
      <c r="GEQ13" s="319"/>
      <c r="GER13" s="319"/>
      <c r="GES13" s="319"/>
      <c r="GET13" s="319"/>
      <c r="GEU13" s="319"/>
      <c r="GEV13" s="319"/>
      <c r="GEW13" s="319"/>
      <c r="GEX13" s="319"/>
      <c r="GEY13" s="319"/>
      <c r="GEZ13" s="319"/>
      <c r="GFA13" s="319"/>
      <c r="GFB13" s="319"/>
      <c r="GFC13" s="319"/>
      <c r="GFD13" s="319"/>
      <c r="GFE13" s="319"/>
      <c r="GFF13" s="319"/>
      <c r="GFG13" s="319"/>
      <c r="GFH13" s="319"/>
      <c r="GFI13" s="319"/>
      <c r="GFJ13" s="319"/>
      <c r="GFK13" s="319"/>
      <c r="GFL13" s="319"/>
      <c r="GFM13" s="319"/>
      <c r="GFN13" s="319"/>
      <c r="GFO13" s="319"/>
      <c r="GFP13" s="319"/>
      <c r="GFQ13" s="319"/>
      <c r="GFR13" s="319"/>
      <c r="GFS13" s="319"/>
      <c r="GFT13" s="319"/>
      <c r="GFU13" s="319"/>
      <c r="GFV13" s="319"/>
      <c r="GFW13" s="319"/>
      <c r="GFX13" s="319"/>
      <c r="GFY13" s="319"/>
      <c r="GFZ13" s="319"/>
      <c r="GGA13" s="319"/>
      <c r="GGB13" s="319"/>
      <c r="GGC13" s="319"/>
      <c r="GGD13" s="319"/>
      <c r="GGE13" s="319"/>
      <c r="GGF13" s="319"/>
      <c r="GGG13" s="319"/>
      <c r="GGH13" s="319"/>
      <c r="GGI13" s="319"/>
      <c r="GGJ13" s="319"/>
      <c r="GGK13" s="319"/>
      <c r="GGL13" s="319"/>
      <c r="GGM13" s="319"/>
      <c r="GGN13" s="319"/>
      <c r="GGO13" s="319"/>
      <c r="GGP13" s="319"/>
      <c r="GGQ13" s="319"/>
      <c r="GGR13" s="319"/>
      <c r="GGS13" s="319"/>
      <c r="GGT13" s="319"/>
      <c r="GGU13" s="319"/>
      <c r="GGV13" s="319"/>
      <c r="GGW13" s="319"/>
      <c r="GGX13" s="319"/>
      <c r="GGY13" s="319"/>
      <c r="GGZ13" s="319"/>
      <c r="GHA13" s="319"/>
      <c r="GHB13" s="319"/>
      <c r="GHC13" s="319"/>
      <c r="GHD13" s="319"/>
      <c r="GHE13" s="319"/>
      <c r="GHF13" s="319"/>
      <c r="GHG13" s="319"/>
      <c r="GHH13" s="319"/>
      <c r="GHI13" s="319"/>
      <c r="GHJ13" s="319"/>
      <c r="GHK13" s="319"/>
      <c r="GHL13" s="319"/>
      <c r="GHM13" s="319"/>
      <c r="GHN13" s="319"/>
      <c r="GHO13" s="319"/>
      <c r="GHP13" s="319"/>
      <c r="GHQ13" s="319"/>
      <c r="GHR13" s="319"/>
      <c r="GHS13" s="319"/>
      <c r="GHT13" s="319"/>
      <c r="GHU13" s="319"/>
      <c r="GHV13" s="319"/>
      <c r="GHW13" s="319"/>
      <c r="GHX13" s="319"/>
      <c r="GHY13" s="319"/>
      <c r="GHZ13" s="319"/>
      <c r="GIA13" s="319"/>
      <c r="GIB13" s="319"/>
      <c r="GIC13" s="319"/>
      <c r="GID13" s="319"/>
      <c r="GIE13" s="319"/>
      <c r="GIF13" s="319"/>
      <c r="GIG13" s="319"/>
      <c r="GIH13" s="319"/>
      <c r="GII13" s="319"/>
      <c r="GIJ13" s="319"/>
      <c r="GIK13" s="319"/>
      <c r="GIL13" s="319"/>
      <c r="GIM13" s="319"/>
      <c r="GIN13" s="319"/>
      <c r="GIO13" s="319"/>
      <c r="GIP13" s="319"/>
      <c r="GIQ13" s="319"/>
      <c r="GIR13" s="319"/>
      <c r="GIS13" s="319"/>
      <c r="GIT13" s="319"/>
      <c r="GIU13" s="319"/>
      <c r="GIV13" s="319"/>
      <c r="GIW13" s="319"/>
      <c r="GIX13" s="319"/>
      <c r="GIY13" s="319"/>
      <c r="GIZ13" s="319"/>
      <c r="GJA13" s="319"/>
      <c r="GJB13" s="319"/>
      <c r="GJC13" s="319"/>
      <c r="GJD13" s="319"/>
      <c r="GJE13" s="319"/>
      <c r="GJF13" s="319"/>
      <c r="GJG13" s="319"/>
      <c r="GJH13" s="319"/>
      <c r="GJI13" s="319"/>
      <c r="GJJ13" s="319"/>
      <c r="GJK13" s="319"/>
      <c r="GJL13" s="319"/>
      <c r="GJM13" s="319"/>
      <c r="GJN13" s="319"/>
      <c r="GJO13" s="319"/>
      <c r="GJP13" s="319"/>
      <c r="GJQ13" s="319"/>
      <c r="GJR13" s="319"/>
      <c r="GJS13" s="319"/>
      <c r="GJT13" s="319"/>
      <c r="GJU13" s="319"/>
      <c r="GJV13" s="319"/>
      <c r="GJW13" s="319"/>
      <c r="GJX13" s="319"/>
      <c r="GJY13" s="319"/>
      <c r="GJZ13" s="319"/>
      <c r="GKA13" s="319"/>
      <c r="GKB13" s="319"/>
      <c r="GKC13" s="319"/>
      <c r="GKD13" s="319"/>
      <c r="GKE13" s="319"/>
      <c r="GKF13" s="319"/>
      <c r="GKG13" s="319"/>
      <c r="GKH13" s="319"/>
      <c r="GKI13" s="319"/>
      <c r="GKJ13" s="319"/>
      <c r="GKK13" s="319"/>
      <c r="GKL13" s="319"/>
      <c r="GKM13" s="319"/>
      <c r="GKN13" s="319"/>
      <c r="GKO13" s="319"/>
      <c r="GKP13" s="319"/>
      <c r="GKQ13" s="319"/>
      <c r="GKR13" s="319"/>
      <c r="GKS13" s="319"/>
      <c r="GKT13" s="319"/>
      <c r="GKU13" s="319"/>
      <c r="GKV13" s="319"/>
      <c r="GKW13" s="319"/>
      <c r="GKX13" s="319"/>
      <c r="GKY13" s="319"/>
      <c r="GKZ13" s="319"/>
      <c r="GLA13" s="319"/>
      <c r="GLB13" s="319"/>
      <c r="GLC13" s="319"/>
      <c r="GLD13" s="319"/>
      <c r="GLE13" s="319"/>
      <c r="GLF13" s="319"/>
      <c r="GLG13" s="319"/>
      <c r="GLH13" s="319"/>
      <c r="GLI13" s="319"/>
      <c r="GLJ13" s="319"/>
      <c r="GLK13" s="319"/>
      <c r="GLL13" s="319"/>
      <c r="GLM13" s="319"/>
      <c r="GLN13" s="319"/>
      <c r="GLO13" s="319"/>
      <c r="GLP13" s="319"/>
      <c r="GLQ13" s="319"/>
      <c r="GLR13" s="319"/>
      <c r="GLS13" s="319"/>
      <c r="GLT13" s="319"/>
      <c r="GLU13" s="319"/>
      <c r="GLV13" s="319"/>
      <c r="GLW13" s="319"/>
      <c r="GLX13" s="319"/>
      <c r="GLY13" s="319"/>
      <c r="GLZ13" s="319"/>
      <c r="GMA13" s="319"/>
      <c r="GMB13" s="319"/>
      <c r="GMC13" s="319"/>
      <c r="GMD13" s="319"/>
      <c r="GME13" s="319"/>
      <c r="GMF13" s="319"/>
      <c r="GMG13" s="319"/>
      <c r="GMH13" s="319"/>
      <c r="GMI13" s="319"/>
      <c r="GMJ13" s="319"/>
      <c r="GMK13" s="319"/>
      <c r="GML13" s="319"/>
      <c r="GMM13" s="319"/>
      <c r="GMN13" s="319"/>
      <c r="GMO13" s="319"/>
      <c r="GMP13" s="319"/>
      <c r="GMQ13" s="319"/>
      <c r="GMR13" s="319"/>
      <c r="GMS13" s="319"/>
      <c r="GMT13" s="319"/>
      <c r="GMU13" s="319"/>
      <c r="GMV13" s="319"/>
      <c r="GMW13" s="319"/>
      <c r="GMX13" s="319"/>
      <c r="GMY13" s="319"/>
      <c r="GMZ13" s="319"/>
      <c r="GNA13" s="319"/>
      <c r="GNB13" s="319"/>
      <c r="GNC13" s="319"/>
      <c r="GND13" s="319"/>
      <c r="GNE13" s="319"/>
      <c r="GNF13" s="319"/>
      <c r="GNG13" s="319"/>
      <c r="GNH13" s="319"/>
      <c r="GNI13" s="319"/>
      <c r="GNJ13" s="319"/>
      <c r="GNK13" s="319"/>
      <c r="GNL13" s="319"/>
      <c r="GNM13" s="319"/>
      <c r="GNN13" s="319"/>
      <c r="GNO13" s="319"/>
      <c r="GNP13" s="319"/>
      <c r="GNQ13" s="319"/>
      <c r="GNR13" s="319"/>
      <c r="GNS13" s="319"/>
      <c r="GNT13" s="319"/>
      <c r="GNU13" s="319"/>
      <c r="GNV13" s="319"/>
      <c r="GNW13" s="319"/>
      <c r="GNX13" s="319"/>
      <c r="GNY13" s="319"/>
      <c r="GNZ13" s="319"/>
      <c r="GOA13" s="319"/>
      <c r="GOB13" s="319"/>
      <c r="GOC13" s="319"/>
      <c r="GOD13" s="319"/>
      <c r="GOE13" s="319"/>
      <c r="GOF13" s="319"/>
      <c r="GOG13" s="319"/>
      <c r="GOH13" s="319"/>
      <c r="GOI13" s="319"/>
      <c r="GOJ13" s="319"/>
      <c r="GOK13" s="319"/>
      <c r="GOL13" s="319"/>
      <c r="GOM13" s="319"/>
      <c r="GON13" s="319"/>
      <c r="GOO13" s="319"/>
      <c r="GOP13" s="319"/>
      <c r="GOQ13" s="319"/>
      <c r="GOR13" s="319"/>
      <c r="GOS13" s="319"/>
      <c r="GOT13" s="319"/>
      <c r="GOU13" s="319"/>
      <c r="GOV13" s="319"/>
      <c r="GOW13" s="319"/>
      <c r="GOX13" s="319"/>
      <c r="GOY13" s="319"/>
      <c r="GOZ13" s="319"/>
      <c r="GPA13" s="319"/>
      <c r="GPB13" s="319"/>
      <c r="GPC13" s="319"/>
      <c r="GPD13" s="319"/>
      <c r="GPE13" s="319"/>
      <c r="GPF13" s="319"/>
      <c r="GPG13" s="319"/>
      <c r="GPH13" s="319"/>
      <c r="GPI13" s="319"/>
      <c r="GPJ13" s="319"/>
      <c r="GPK13" s="319"/>
      <c r="GPL13" s="319"/>
      <c r="GPM13" s="319"/>
      <c r="GPN13" s="319"/>
      <c r="GPO13" s="319"/>
      <c r="GPP13" s="319"/>
      <c r="GPQ13" s="319"/>
      <c r="GPR13" s="319"/>
      <c r="GPS13" s="319"/>
      <c r="GPT13" s="319"/>
      <c r="GPU13" s="319"/>
      <c r="GPV13" s="319"/>
      <c r="GPW13" s="319"/>
      <c r="GPX13" s="319"/>
      <c r="GPY13" s="319"/>
      <c r="GPZ13" s="319"/>
      <c r="GQA13" s="319"/>
      <c r="GQB13" s="319"/>
      <c r="GQC13" s="319"/>
      <c r="GQD13" s="319"/>
      <c r="GQE13" s="319"/>
      <c r="GQF13" s="319"/>
      <c r="GQG13" s="319"/>
      <c r="GQH13" s="319"/>
      <c r="GQI13" s="319"/>
      <c r="GQJ13" s="319"/>
      <c r="GQK13" s="319"/>
      <c r="GQL13" s="319"/>
      <c r="GQM13" s="319"/>
      <c r="GQN13" s="319"/>
      <c r="GQO13" s="319"/>
      <c r="GQP13" s="319"/>
      <c r="GQQ13" s="319"/>
      <c r="GQR13" s="319"/>
      <c r="GQS13" s="319"/>
      <c r="GQT13" s="319"/>
      <c r="GQU13" s="319"/>
      <c r="GQV13" s="319"/>
      <c r="GQW13" s="319"/>
      <c r="GQX13" s="319"/>
      <c r="GQY13" s="319"/>
      <c r="GQZ13" s="319"/>
      <c r="GRA13" s="319"/>
      <c r="GRB13" s="319"/>
      <c r="GRC13" s="319"/>
      <c r="GRD13" s="319"/>
      <c r="GRE13" s="319"/>
      <c r="GRF13" s="319"/>
      <c r="GRG13" s="319"/>
      <c r="GRH13" s="319"/>
      <c r="GRI13" s="319"/>
      <c r="GRJ13" s="319"/>
      <c r="GRK13" s="319"/>
      <c r="GRL13" s="319"/>
      <c r="GRM13" s="319"/>
      <c r="GRN13" s="319"/>
      <c r="GRO13" s="319"/>
      <c r="GRP13" s="319"/>
      <c r="GRQ13" s="319"/>
      <c r="GRR13" s="319"/>
      <c r="GRS13" s="319"/>
      <c r="GRT13" s="319"/>
      <c r="GRU13" s="319"/>
      <c r="GRV13" s="319"/>
      <c r="GRW13" s="319"/>
      <c r="GRX13" s="319"/>
      <c r="GRY13" s="319"/>
      <c r="GRZ13" s="319"/>
      <c r="GSA13" s="319"/>
      <c r="GSB13" s="319"/>
      <c r="GSC13" s="319"/>
      <c r="GSD13" s="319"/>
      <c r="GSE13" s="319"/>
      <c r="GSF13" s="319"/>
      <c r="GSG13" s="319"/>
      <c r="GSH13" s="319"/>
      <c r="GSI13" s="319"/>
      <c r="GSJ13" s="319"/>
      <c r="GSK13" s="319"/>
      <c r="GSL13" s="319"/>
      <c r="GSM13" s="319"/>
      <c r="GSN13" s="319"/>
      <c r="GSO13" s="319"/>
      <c r="GSP13" s="319"/>
      <c r="GSQ13" s="319"/>
      <c r="GSR13" s="319"/>
      <c r="GSS13" s="319"/>
      <c r="GST13" s="319"/>
      <c r="GSU13" s="319"/>
      <c r="GSV13" s="319"/>
      <c r="GSW13" s="319"/>
      <c r="GSX13" s="319"/>
      <c r="GSY13" s="319"/>
      <c r="GSZ13" s="319"/>
      <c r="GTA13" s="319"/>
      <c r="GTB13" s="319"/>
      <c r="GTC13" s="319"/>
      <c r="GTD13" s="319"/>
      <c r="GTE13" s="319"/>
      <c r="GTF13" s="319"/>
      <c r="GTG13" s="319"/>
      <c r="GTH13" s="319"/>
      <c r="GTI13" s="319"/>
      <c r="GTJ13" s="319"/>
      <c r="GTK13" s="319"/>
      <c r="GTL13" s="319"/>
      <c r="GTM13" s="319"/>
      <c r="GTN13" s="319"/>
      <c r="GTO13" s="319"/>
      <c r="GTP13" s="319"/>
      <c r="GTQ13" s="319"/>
      <c r="GTR13" s="319"/>
      <c r="GTS13" s="319"/>
      <c r="GTT13" s="319"/>
      <c r="GTU13" s="319"/>
      <c r="GTV13" s="319"/>
      <c r="GTW13" s="319"/>
      <c r="GTX13" s="319"/>
      <c r="GTY13" s="319"/>
      <c r="GTZ13" s="319"/>
      <c r="GUA13" s="319"/>
      <c r="GUB13" s="319"/>
      <c r="GUC13" s="319"/>
      <c r="GUD13" s="319"/>
      <c r="GUE13" s="319"/>
      <c r="GUF13" s="319"/>
      <c r="GUG13" s="319"/>
      <c r="GUH13" s="319"/>
      <c r="GUI13" s="319"/>
      <c r="GUJ13" s="319"/>
      <c r="GUK13" s="319"/>
      <c r="GUL13" s="319"/>
      <c r="GUM13" s="319"/>
      <c r="GUN13" s="319"/>
      <c r="GUO13" s="319"/>
      <c r="GUP13" s="319"/>
      <c r="GUQ13" s="319"/>
      <c r="GUR13" s="319"/>
      <c r="GUS13" s="319"/>
      <c r="GUT13" s="319"/>
      <c r="GUU13" s="319"/>
      <c r="GUV13" s="319"/>
      <c r="GUW13" s="319"/>
      <c r="GUX13" s="319"/>
      <c r="GUY13" s="319"/>
      <c r="GUZ13" s="319"/>
      <c r="GVA13" s="319"/>
      <c r="GVB13" s="319"/>
      <c r="GVC13" s="319"/>
      <c r="GVD13" s="319"/>
      <c r="GVE13" s="319"/>
      <c r="GVF13" s="319"/>
      <c r="GVG13" s="319"/>
      <c r="GVH13" s="319"/>
      <c r="GVI13" s="319"/>
      <c r="GVJ13" s="319"/>
      <c r="GVK13" s="319"/>
      <c r="GVL13" s="319"/>
      <c r="GVM13" s="319"/>
      <c r="GVN13" s="319"/>
      <c r="GVO13" s="319"/>
      <c r="GVP13" s="319"/>
      <c r="GVQ13" s="319"/>
      <c r="GVR13" s="319"/>
      <c r="GVS13" s="319"/>
      <c r="GVT13" s="319"/>
      <c r="GVU13" s="319"/>
      <c r="GVV13" s="319"/>
      <c r="GVW13" s="319"/>
      <c r="GVX13" s="319"/>
      <c r="GVY13" s="319"/>
      <c r="GVZ13" s="319"/>
      <c r="GWA13" s="319"/>
      <c r="GWB13" s="319"/>
      <c r="GWC13" s="319"/>
      <c r="GWD13" s="319"/>
      <c r="GWE13" s="319"/>
      <c r="GWF13" s="319"/>
      <c r="GWG13" s="319"/>
      <c r="GWH13" s="319"/>
      <c r="GWI13" s="319"/>
      <c r="GWJ13" s="319"/>
      <c r="GWK13" s="319"/>
      <c r="GWL13" s="319"/>
      <c r="GWM13" s="319"/>
      <c r="GWN13" s="319"/>
      <c r="GWO13" s="319"/>
      <c r="GWP13" s="319"/>
      <c r="GWQ13" s="319"/>
      <c r="GWR13" s="319"/>
      <c r="GWS13" s="319"/>
      <c r="GWT13" s="319"/>
      <c r="GWU13" s="319"/>
      <c r="GWV13" s="319"/>
      <c r="GWW13" s="319"/>
      <c r="GWX13" s="319"/>
      <c r="GWY13" s="319"/>
      <c r="GWZ13" s="319"/>
      <c r="GXA13" s="319"/>
      <c r="GXB13" s="319"/>
      <c r="GXC13" s="319"/>
      <c r="GXD13" s="319"/>
      <c r="GXE13" s="319"/>
      <c r="GXF13" s="319"/>
      <c r="GXG13" s="319"/>
      <c r="GXH13" s="319"/>
      <c r="GXI13" s="319"/>
      <c r="GXJ13" s="319"/>
      <c r="GXK13" s="319"/>
      <c r="GXL13" s="319"/>
      <c r="GXM13" s="319"/>
      <c r="GXN13" s="319"/>
      <c r="GXO13" s="319"/>
      <c r="GXP13" s="319"/>
      <c r="GXQ13" s="319"/>
      <c r="GXR13" s="319"/>
      <c r="GXS13" s="319"/>
      <c r="GXT13" s="319"/>
      <c r="GXU13" s="319"/>
      <c r="GXV13" s="319"/>
      <c r="GXW13" s="319"/>
      <c r="GXX13" s="319"/>
      <c r="GXY13" s="319"/>
      <c r="GXZ13" s="319"/>
      <c r="GYA13" s="319"/>
      <c r="GYB13" s="319"/>
      <c r="GYC13" s="319"/>
      <c r="GYD13" s="319"/>
      <c r="GYE13" s="319"/>
      <c r="GYF13" s="319"/>
      <c r="GYG13" s="319"/>
      <c r="GYH13" s="319"/>
      <c r="GYI13" s="319"/>
      <c r="GYJ13" s="319"/>
      <c r="GYK13" s="319"/>
      <c r="GYL13" s="319"/>
      <c r="GYM13" s="319"/>
      <c r="GYN13" s="319"/>
      <c r="GYO13" s="319"/>
      <c r="GYP13" s="319"/>
      <c r="GYQ13" s="319"/>
      <c r="GYR13" s="319"/>
      <c r="GYS13" s="319"/>
      <c r="GYT13" s="319"/>
      <c r="GYU13" s="319"/>
      <c r="GYV13" s="319"/>
      <c r="GYW13" s="319"/>
      <c r="GYX13" s="319"/>
      <c r="GYY13" s="319"/>
      <c r="GYZ13" s="319"/>
      <c r="GZA13" s="319"/>
      <c r="GZB13" s="319"/>
      <c r="GZC13" s="319"/>
      <c r="GZD13" s="319"/>
      <c r="GZE13" s="319"/>
      <c r="GZF13" s="319"/>
      <c r="GZG13" s="319"/>
      <c r="GZH13" s="319"/>
      <c r="GZI13" s="319"/>
      <c r="GZJ13" s="319"/>
      <c r="GZK13" s="319"/>
      <c r="GZL13" s="319"/>
      <c r="GZM13" s="319"/>
      <c r="GZN13" s="319"/>
      <c r="GZO13" s="319"/>
      <c r="GZP13" s="319"/>
      <c r="GZQ13" s="319"/>
      <c r="GZR13" s="319"/>
      <c r="GZS13" s="319"/>
      <c r="GZT13" s="319"/>
      <c r="GZU13" s="319"/>
      <c r="GZV13" s="319"/>
      <c r="GZW13" s="319"/>
      <c r="GZX13" s="319"/>
      <c r="GZY13" s="319"/>
      <c r="GZZ13" s="319"/>
      <c r="HAA13" s="319"/>
      <c r="HAB13" s="319"/>
      <c r="HAC13" s="319"/>
      <c r="HAD13" s="319"/>
      <c r="HAE13" s="319"/>
      <c r="HAF13" s="319"/>
      <c r="HAG13" s="319"/>
      <c r="HAH13" s="319"/>
      <c r="HAI13" s="319"/>
      <c r="HAJ13" s="319"/>
      <c r="HAK13" s="319"/>
      <c r="HAL13" s="319"/>
      <c r="HAM13" s="319"/>
      <c r="HAN13" s="319"/>
      <c r="HAO13" s="319"/>
      <c r="HAP13" s="319"/>
      <c r="HAQ13" s="319"/>
      <c r="HAR13" s="319"/>
      <c r="HAS13" s="319"/>
      <c r="HAT13" s="319"/>
      <c r="HAU13" s="319"/>
      <c r="HAV13" s="319"/>
      <c r="HAW13" s="319"/>
      <c r="HAX13" s="319"/>
      <c r="HAY13" s="319"/>
      <c r="HAZ13" s="319"/>
      <c r="HBA13" s="319"/>
      <c r="HBB13" s="319"/>
      <c r="HBC13" s="319"/>
      <c r="HBD13" s="319"/>
      <c r="HBE13" s="319"/>
      <c r="HBF13" s="319"/>
      <c r="HBG13" s="319"/>
      <c r="HBH13" s="319"/>
      <c r="HBI13" s="319"/>
      <c r="HBJ13" s="319"/>
      <c r="HBK13" s="319"/>
      <c r="HBL13" s="319"/>
      <c r="HBM13" s="319"/>
      <c r="HBN13" s="319"/>
      <c r="HBO13" s="319"/>
      <c r="HBP13" s="319"/>
      <c r="HBQ13" s="319"/>
      <c r="HBR13" s="319"/>
      <c r="HBS13" s="319"/>
      <c r="HBT13" s="319"/>
      <c r="HBU13" s="319"/>
      <c r="HBV13" s="319"/>
      <c r="HBW13" s="319"/>
      <c r="HBX13" s="319"/>
      <c r="HBY13" s="319"/>
      <c r="HBZ13" s="319"/>
      <c r="HCA13" s="319"/>
      <c r="HCB13" s="319"/>
      <c r="HCC13" s="319"/>
      <c r="HCD13" s="319"/>
      <c r="HCE13" s="319"/>
      <c r="HCF13" s="319"/>
      <c r="HCG13" s="319"/>
      <c r="HCH13" s="319"/>
      <c r="HCI13" s="319"/>
      <c r="HCJ13" s="319"/>
      <c r="HCK13" s="319"/>
      <c r="HCL13" s="319"/>
      <c r="HCM13" s="319"/>
      <c r="HCN13" s="319"/>
      <c r="HCO13" s="319"/>
      <c r="HCP13" s="319"/>
      <c r="HCQ13" s="319"/>
      <c r="HCR13" s="319"/>
      <c r="HCS13" s="319"/>
      <c r="HCT13" s="319"/>
      <c r="HCU13" s="319"/>
      <c r="HCV13" s="319"/>
      <c r="HCW13" s="319"/>
      <c r="HCX13" s="319"/>
      <c r="HCY13" s="319"/>
      <c r="HCZ13" s="319"/>
      <c r="HDA13" s="319"/>
      <c r="HDB13" s="319"/>
      <c r="HDC13" s="319"/>
      <c r="HDD13" s="319"/>
      <c r="HDE13" s="319"/>
      <c r="HDF13" s="319"/>
      <c r="HDG13" s="319"/>
      <c r="HDH13" s="319"/>
      <c r="HDI13" s="319"/>
      <c r="HDJ13" s="319"/>
      <c r="HDK13" s="319"/>
      <c r="HDL13" s="319"/>
      <c r="HDM13" s="319"/>
      <c r="HDN13" s="319"/>
      <c r="HDO13" s="319"/>
      <c r="HDP13" s="319"/>
      <c r="HDQ13" s="319"/>
      <c r="HDR13" s="319"/>
      <c r="HDS13" s="319"/>
      <c r="HDT13" s="319"/>
      <c r="HDU13" s="319"/>
      <c r="HDV13" s="319"/>
      <c r="HDW13" s="319"/>
      <c r="HDX13" s="319"/>
      <c r="HDY13" s="319"/>
      <c r="HDZ13" s="319"/>
      <c r="HEA13" s="319"/>
      <c r="HEB13" s="319"/>
      <c r="HEC13" s="319"/>
      <c r="HED13" s="319"/>
      <c r="HEE13" s="319"/>
      <c r="HEF13" s="319"/>
      <c r="HEG13" s="319"/>
      <c r="HEH13" s="319"/>
      <c r="HEI13" s="319"/>
      <c r="HEJ13" s="319"/>
      <c r="HEK13" s="319"/>
      <c r="HEL13" s="319"/>
      <c r="HEM13" s="319"/>
      <c r="HEN13" s="319"/>
      <c r="HEO13" s="319"/>
      <c r="HEP13" s="319"/>
      <c r="HEQ13" s="319"/>
      <c r="HER13" s="319"/>
      <c r="HES13" s="319"/>
      <c r="HET13" s="319"/>
      <c r="HEU13" s="319"/>
      <c r="HEV13" s="319"/>
      <c r="HEW13" s="319"/>
      <c r="HEX13" s="319"/>
      <c r="HEY13" s="319"/>
      <c r="HEZ13" s="319"/>
      <c r="HFA13" s="319"/>
      <c r="HFB13" s="319"/>
      <c r="HFC13" s="319"/>
      <c r="HFD13" s="319"/>
      <c r="HFE13" s="319"/>
      <c r="HFF13" s="319"/>
      <c r="HFG13" s="319"/>
      <c r="HFH13" s="319"/>
      <c r="HFI13" s="319"/>
      <c r="HFJ13" s="319"/>
      <c r="HFK13" s="319"/>
      <c r="HFL13" s="319"/>
      <c r="HFM13" s="319"/>
      <c r="HFN13" s="319"/>
      <c r="HFO13" s="319"/>
      <c r="HFP13" s="319"/>
      <c r="HFQ13" s="319"/>
      <c r="HFR13" s="319"/>
      <c r="HFS13" s="319"/>
      <c r="HFT13" s="319"/>
      <c r="HFU13" s="319"/>
      <c r="HFV13" s="319"/>
      <c r="HFW13" s="319"/>
      <c r="HFX13" s="319"/>
      <c r="HFY13" s="319"/>
      <c r="HFZ13" s="319"/>
      <c r="HGA13" s="319"/>
      <c r="HGB13" s="319"/>
      <c r="HGC13" s="319"/>
      <c r="HGD13" s="319"/>
      <c r="HGE13" s="319"/>
      <c r="HGF13" s="319"/>
      <c r="HGG13" s="319"/>
      <c r="HGH13" s="319"/>
      <c r="HGI13" s="319"/>
      <c r="HGJ13" s="319"/>
      <c r="HGK13" s="319"/>
      <c r="HGL13" s="319"/>
      <c r="HGM13" s="319"/>
      <c r="HGN13" s="319"/>
      <c r="HGO13" s="319"/>
      <c r="HGP13" s="319"/>
      <c r="HGQ13" s="319"/>
      <c r="HGR13" s="319"/>
      <c r="HGS13" s="319"/>
      <c r="HGT13" s="319"/>
      <c r="HGU13" s="319"/>
      <c r="HGV13" s="319"/>
      <c r="HGW13" s="319"/>
      <c r="HGX13" s="319"/>
      <c r="HGY13" s="319"/>
      <c r="HGZ13" s="319"/>
      <c r="HHA13" s="319"/>
      <c r="HHB13" s="319"/>
      <c r="HHC13" s="319"/>
      <c r="HHD13" s="319"/>
      <c r="HHE13" s="319"/>
      <c r="HHF13" s="319"/>
      <c r="HHG13" s="319"/>
      <c r="HHH13" s="319"/>
      <c r="HHI13" s="319"/>
      <c r="HHJ13" s="319"/>
      <c r="HHK13" s="319"/>
      <c r="HHL13" s="319"/>
      <c r="HHM13" s="319"/>
      <c r="HHN13" s="319"/>
      <c r="HHO13" s="319"/>
      <c r="HHP13" s="319"/>
      <c r="HHQ13" s="319"/>
      <c r="HHR13" s="319"/>
      <c r="HHS13" s="319"/>
      <c r="HHT13" s="319"/>
      <c r="HHU13" s="319"/>
      <c r="HHV13" s="319"/>
      <c r="HHW13" s="319"/>
      <c r="HHX13" s="319"/>
      <c r="HHY13" s="319"/>
      <c r="HHZ13" s="319"/>
      <c r="HIA13" s="319"/>
      <c r="HIB13" s="319"/>
      <c r="HIC13" s="319"/>
      <c r="HID13" s="319"/>
      <c r="HIE13" s="319"/>
      <c r="HIF13" s="319"/>
      <c r="HIG13" s="319"/>
      <c r="HIH13" s="319"/>
      <c r="HII13" s="319"/>
      <c r="HIJ13" s="319"/>
      <c r="HIK13" s="319"/>
      <c r="HIL13" s="319"/>
      <c r="HIM13" s="319"/>
      <c r="HIN13" s="319"/>
      <c r="HIO13" s="319"/>
      <c r="HIP13" s="319"/>
      <c r="HIQ13" s="319"/>
      <c r="HIR13" s="319"/>
      <c r="HIS13" s="319"/>
      <c r="HIT13" s="319"/>
      <c r="HIU13" s="319"/>
      <c r="HIV13" s="319"/>
      <c r="HIW13" s="319"/>
      <c r="HIX13" s="319"/>
      <c r="HIY13" s="319"/>
      <c r="HIZ13" s="319"/>
      <c r="HJA13" s="319"/>
      <c r="HJB13" s="319"/>
      <c r="HJC13" s="319"/>
      <c r="HJD13" s="319"/>
      <c r="HJE13" s="319"/>
      <c r="HJF13" s="319"/>
      <c r="HJG13" s="319"/>
      <c r="HJH13" s="319"/>
      <c r="HJI13" s="319"/>
      <c r="HJJ13" s="319"/>
      <c r="HJK13" s="319"/>
      <c r="HJL13" s="319"/>
      <c r="HJM13" s="319"/>
      <c r="HJN13" s="319"/>
      <c r="HJO13" s="319"/>
      <c r="HJP13" s="319"/>
      <c r="HJQ13" s="319"/>
      <c r="HJR13" s="319"/>
      <c r="HJS13" s="319"/>
      <c r="HJT13" s="319"/>
      <c r="HJU13" s="319"/>
      <c r="HJV13" s="319"/>
      <c r="HJW13" s="319"/>
      <c r="HJX13" s="319"/>
      <c r="HJY13" s="319"/>
      <c r="HJZ13" s="319"/>
      <c r="HKA13" s="319"/>
      <c r="HKB13" s="319"/>
      <c r="HKC13" s="319"/>
      <c r="HKD13" s="319"/>
      <c r="HKE13" s="319"/>
      <c r="HKF13" s="319"/>
      <c r="HKG13" s="319"/>
      <c r="HKH13" s="319"/>
      <c r="HKI13" s="319"/>
      <c r="HKJ13" s="319"/>
      <c r="HKK13" s="319"/>
      <c r="HKL13" s="319"/>
      <c r="HKM13" s="319"/>
      <c r="HKN13" s="319"/>
      <c r="HKO13" s="319"/>
      <c r="HKP13" s="319"/>
      <c r="HKQ13" s="319"/>
      <c r="HKR13" s="319"/>
      <c r="HKS13" s="319"/>
      <c r="HKT13" s="319"/>
      <c r="HKU13" s="319"/>
      <c r="HKV13" s="319"/>
      <c r="HKW13" s="319"/>
      <c r="HKX13" s="319"/>
      <c r="HKY13" s="319"/>
      <c r="HKZ13" s="319"/>
      <c r="HLA13" s="319"/>
      <c r="HLB13" s="319"/>
      <c r="HLC13" s="319"/>
      <c r="HLD13" s="319"/>
      <c r="HLE13" s="319"/>
      <c r="HLF13" s="319"/>
      <c r="HLG13" s="319"/>
      <c r="HLH13" s="319"/>
      <c r="HLI13" s="319"/>
      <c r="HLJ13" s="319"/>
      <c r="HLK13" s="319"/>
      <c r="HLL13" s="319"/>
      <c r="HLM13" s="319"/>
      <c r="HLN13" s="319"/>
      <c r="HLO13" s="319"/>
      <c r="HLP13" s="319"/>
      <c r="HLQ13" s="319"/>
      <c r="HLR13" s="319"/>
      <c r="HLS13" s="319"/>
      <c r="HLT13" s="319"/>
      <c r="HLU13" s="319"/>
      <c r="HLV13" s="319"/>
      <c r="HLW13" s="319"/>
      <c r="HLX13" s="319"/>
      <c r="HLY13" s="319"/>
      <c r="HLZ13" s="319"/>
      <c r="HMA13" s="319"/>
      <c r="HMB13" s="319"/>
      <c r="HMC13" s="319"/>
      <c r="HMD13" s="319"/>
      <c r="HME13" s="319"/>
      <c r="HMF13" s="319"/>
      <c r="HMG13" s="319"/>
      <c r="HMH13" s="319"/>
      <c r="HMI13" s="319"/>
      <c r="HMJ13" s="319"/>
      <c r="HMK13" s="319"/>
      <c r="HML13" s="319"/>
      <c r="HMM13" s="319"/>
      <c r="HMN13" s="319"/>
      <c r="HMO13" s="319"/>
      <c r="HMP13" s="319"/>
      <c r="HMQ13" s="319"/>
      <c r="HMR13" s="319"/>
      <c r="HMS13" s="319"/>
      <c r="HMT13" s="319"/>
      <c r="HMU13" s="319"/>
      <c r="HMV13" s="319"/>
      <c r="HMW13" s="319"/>
      <c r="HMX13" s="319"/>
      <c r="HMY13" s="319"/>
      <c r="HMZ13" s="319"/>
      <c r="HNA13" s="319"/>
      <c r="HNB13" s="319"/>
      <c r="HNC13" s="319"/>
      <c r="HND13" s="319"/>
      <c r="HNE13" s="319"/>
      <c r="HNF13" s="319"/>
      <c r="HNG13" s="319"/>
      <c r="HNH13" s="319"/>
      <c r="HNI13" s="319"/>
      <c r="HNJ13" s="319"/>
      <c r="HNK13" s="319"/>
      <c r="HNL13" s="319"/>
      <c r="HNM13" s="319"/>
      <c r="HNN13" s="319"/>
      <c r="HNO13" s="319"/>
      <c r="HNP13" s="319"/>
      <c r="HNQ13" s="319"/>
      <c r="HNR13" s="319"/>
      <c r="HNS13" s="319"/>
      <c r="HNT13" s="319"/>
      <c r="HNU13" s="319"/>
      <c r="HNV13" s="319"/>
      <c r="HNW13" s="319"/>
      <c r="HNX13" s="319"/>
      <c r="HNY13" s="319"/>
      <c r="HNZ13" s="319"/>
      <c r="HOA13" s="319"/>
      <c r="HOB13" s="319"/>
      <c r="HOC13" s="319"/>
      <c r="HOD13" s="319"/>
      <c r="HOE13" s="319"/>
      <c r="HOF13" s="319"/>
      <c r="HOG13" s="319"/>
      <c r="HOH13" s="319"/>
      <c r="HOI13" s="319"/>
      <c r="HOJ13" s="319"/>
      <c r="HOK13" s="319"/>
      <c r="HOL13" s="319"/>
      <c r="HOM13" s="319"/>
      <c r="HON13" s="319"/>
      <c r="HOO13" s="319"/>
      <c r="HOP13" s="319"/>
      <c r="HOQ13" s="319"/>
      <c r="HOR13" s="319"/>
      <c r="HOS13" s="319"/>
      <c r="HOT13" s="319"/>
      <c r="HOU13" s="319"/>
      <c r="HOV13" s="319"/>
      <c r="HOW13" s="319"/>
      <c r="HOX13" s="319"/>
      <c r="HOY13" s="319"/>
      <c r="HOZ13" s="319"/>
      <c r="HPA13" s="319"/>
      <c r="HPB13" s="319"/>
      <c r="HPC13" s="319"/>
      <c r="HPD13" s="319"/>
      <c r="HPE13" s="319"/>
      <c r="HPF13" s="319"/>
      <c r="HPG13" s="319"/>
      <c r="HPH13" s="319"/>
      <c r="HPI13" s="319"/>
      <c r="HPJ13" s="319"/>
      <c r="HPK13" s="319"/>
      <c r="HPL13" s="319"/>
      <c r="HPM13" s="319"/>
      <c r="HPN13" s="319"/>
      <c r="HPO13" s="319"/>
      <c r="HPP13" s="319"/>
      <c r="HPQ13" s="319"/>
      <c r="HPR13" s="319"/>
      <c r="HPS13" s="319"/>
      <c r="HPT13" s="319"/>
      <c r="HPU13" s="319"/>
      <c r="HPV13" s="319"/>
      <c r="HPW13" s="319"/>
      <c r="HPX13" s="319"/>
      <c r="HPY13" s="319"/>
      <c r="HPZ13" s="319"/>
      <c r="HQA13" s="319"/>
      <c r="HQB13" s="319"/>
      <c r="HQC13" s="319"/>
      <c r="HQD13" s="319"/>
      <c r="HQE13" s="319"/>
      <c r="HQF13" s="319"/>
      <c r="HQG13" s="319"/>
      <c r="HQH13" s="319"/>
      <c r="HQI13" s="319"/>
      <c r="HQJ13" s="319"/>
      <c r="HQK13" s="319"/>
      <c r="HQL13" s="319"/>
      <c r="HQM13" s="319"/>
      <c r="HQN13" s="319"/>
      <c r="HQO13" s="319"/>
      <c r="HQP13" s="319"/>
      <c r="HQQ13" s="319"/>
      <c r="HQR13" s="319"/>
      <c r="HQS13" s="319"/>
      <c r="HQT13" s="319"/>
      <c r="HQU13" s="319"/>
      <c r="HQV13" s="319"/>
      <c r="HQW13" s="319"/>
      <c r="HQX13" s="319"/>
      <c r="HQY13" s="319"/>
      <c r="HQZ13" s="319"/>
      <c r="HRA13" s="319"/>
      <c r="HRB13" s="319"/>
      <c r="HRC13" s="319"/>
      <c r="HRD13" s="319"/>
      <c r="HRE13" s="319"/>
      <c r="HRF13" s="319"/>
      <c r="HRG13" s="319"/>
      <c r="HRH13" s="319"/>
      <c r="HRI13" s="319"/>
      <c r="HRJ13" s="319"/>
      <c r="HRK13" s="319"/>
      <c r="HRL13" s="319"/>
      <c r="HRM13" s="319"/>
      <c r="HRN13" s="319"/>
      <c r="HRO13" s="319"/>
      <c r="HRP13" s="319"/>
      <c r="HRQ13" s="319"/>
      <c r="HRR13" s="319"/>
      <c r="HRS13" s="319"/>
      <c r="HRT13" s="319"/>
      <c r="HRU13" s="319"/>
      <c r="HRV13" s="319"/>
      <c r="HRW13" s="319"/>
      <c r="HRX13" s="319"/>
      <c r="HRY13" s="319"/>
      <c r="HRZ13" s="319"/>
      <c r="HSA13" s="319"/>
      <c r="HSB13" s="319"/>
      <c r="HSC13" s="319"/>
      <c r="HSD13" s="319"/>
      <c r="HSE13" s="319"/>
      <c r="HSF13" s="319"/>
      <c r="HSG13" s="319"/>
      <c r="HSH13" s="319"/>
      <c r="HSI13" s="319"/>
      <c r="HSJ13" s="319"/>
      <c r="HSK13" s="319"/>
      <c r="HSL13" s="319"/>
      <c r="HSM13" s="319"/>
      <c r="HSN13" s="319"/>
      <c r="HSO13" s="319"/>
      <c r="HSP13" s="319"/>
      <c r="HSQ13" s="319"/>
      <c r="HSR13" s="319"/>
      <c r="HSS13" s="319"/>
      <c r="HST13" s="319"/>
      <c r="HSU13" s="319"/>
      <c r="HSV13" s="319"/>
      <c r="HSW13" s="319"/>
      <c r="HSX13" s="319"/>
      <c r="HSY13" s="319"/>
      <c r="HSZ13" s="319"/>
      <c r="HTA13" s="319"/>
      <c r="HTB13" s="319"/>
      <c r="HTC13" s="319"/>
      <c r="HTD13" s="319"/>
      <c r="HTE13" s="319"/>
      <c r="HTF13" s="319"/>
      <c r="HTG13" s="319"/>
      <c r="HTH13" s="319"/>
      <c r="HTI13" s="319"/>
      <c r="HTJ13" s="319"/>
      <c r="HTK13" s="319"/>
      <c r="HTL13" s="319"/>
      <c r="HTM13" s="319"/>
      <c r="HTN13" s="319"/>
      <c r="HTO13" s="319"/>
      <c r="HTP13" s="319"/>
      <c r="HTQ13" s="319"/>
      <c r="HTR13" s="319"/>
      <c r="HTS13" s="319"/>
      <c r="HTT13" s="319"/>
      <c r="HTU13" s="319"/>
      <c r="HTV13" s="319"/>
      <c r="HTW13" s="319"/>
      <c r="HTX13" s="319"/>
      <c r="HTY13" s="319"/>
      <c r="HTZ13" s="319"/>
      <c r="HUA13" s="319"/>
      <c r="HUB13" s="319"/>
      <c r="HUC13" s="319"/>
      <c r="HUD13" s="319"/>
      <c r="HUE13" s="319"/>
      <c r="HUF13" s="319"/>
      <c r="HUG13" s="319"/>
      <c r="HUH13" s="319"/>
      <c r="HUI13" s="319"/>
      <c r="HUJ13" s="319"/>
      <c r="HUK13" s="319"/>
      <c r="HUL13" s="319"/>
      <c r="HUM13" s="319"/>
      <c r="HUN13" s="319"/>
      <c r="HUO13" s="319"/>
      <c r="HUP13" s="319"/>
      <c r="HUQ13" s="319"/>
      <c r="HUR13" s="319"/>
      <c r="HUS13" s="319"/>
      <c r="HUT13" s="319"/>
      <c r="HUU13" s="319"/>
      <c r="HUV13" s="319"/>
      <c r="HUW13" s="319"/>
      <c r="HUX13" s="319"/>
      <c r="HUY13" s="319"/>
      <c r="HUZ13" s="319"/>
      <c r="HVA13" s="319"/>
      <c r="HVB13" s="319"/>
      <c r="HVC13" s="319"/>
      <c r="HVD13" s="319"/>
      <c r="HVE13" s="319"/>
      <c r="HVF13" s="319"/>
      <c r="HVG13" s="319"/>
      <c r="HVH13" s="319"/>
      <c r="HVI13" s="319"/>
      <c r="HVJ13" s="319"/>
      <c r="HVK13" s="319"/>
      <c r="HVL13" s="319"/>
      <c r="HVM13" s="319"/>
      <c r="HVN13" s="319"/>
      <c r="HVO13" s="319"/>
      <c r="HVP13" s="319"/>
      <c r="HVQ13" s="319"/>
      <c r="HVR13" s="319"/>
      <c r="HVS13" s="319"/>
      <c r="HVT13" s="319"/>
      <c r="HVU13" s="319"/>
      <c r="HVV13" s="319"/>
      <c r="HVW13" s="319"/>
      <c r="HVX13" s="319"/>
      <c r="HVY13" s="319"/>
      <c r="HVZ13" s="319"/>
      <c r="HWA13" s="319"/>
      <c r="HWB13" s="319"/>
      <c r="HWC13" s="319"/>
      <c r="HWD13" s="319"/>
      <c r="HWE13" s="319"/>
      <c r="HWF13" s="319"/>
      <c r="HWG13" s="319"/>
      <c r="HWH13" s="319"/>
      <c r="HWI13" s="319"/>
      <c r="HWJ13" s="319"/>
      <c r="HWK13" s="319"/>
      <c r="HWL13" s="319"/>
      <c r="HWM13" s="319"/>
      <c r="HWN13" s="319"/>
      <c r="HWO13" s="319"/>
      <c r="HWP13" s="319"/>
      <c r="HWQ13" s="319"/>
      <c r="HWR13" s="319"/>
      <c r="HWS13" s="319"/>
      <c r="HWT13" s="319"/>
      <c r="HWU13" s="319"/>
      <c r="HWV13" s="319"/>
      <c r="HWW13" s="319"/>
      <c r="HWX13" s="319"/>
      <c r="HWY13" s="319"/>
      <c r="HWZ13" s="319"/>
      <c r="HXA13" s="319"/>
      <c r="HXB13" s="319"/>
      <c r="HXC13" s="319"/>
      <c r="HXD13" s="319"/>
      <c r="HXE13" s="319"/>
      <c r="HXF13" s="319"/>
      <c r="HXG13" s="319"/>
      <c r="HXH13" s="319"/>
      <c r="HXI13" s="319"/>
      <c r="HXJ13" s="319"/>
      <c r="HXK13" s="319"/>
      <c r="HXL13" s="319"/>
      <c r="HXM13" s="319"/>
      <c r="HXN13" s="319"/>
      <c r="HXO13" s="319"/>
      <c r="HXP13" s="319"/>
      <c r="HXQ13" s="319"/>
      <c r="HXR13" s="319"/>
      <c r="HXS13" s="319"/>
      <c r="HXT13" s="319"/>
      <c r="HXU13" s="319"/>
      <c r="HXV13" s="319"/>
      <c r="HXW13" s="319"/>
      <c r="HXX13" s="319"/>
      <c r="HXY13" s="319"/>
      <c r="HXZ13" s="319"/>
      <c r="HYA13" s="319"/>
      <c r="HYB13" s="319"/>
      <c r="HYC13" s="319"/>
      <c r="HYD13" s="319"/>
      <c r="HYE13" s="319"/>
      <c r="HYF13" s="319"/>
      <c r="HYG13" s="319"/>
      <c r="HYH13" s="319"/>
      <c r="HYI13" s="319"/>
      <c r="HYJ13" s="319"/>
      <c r="HYK13" s="319"/>
      <c r="HYL13" s="319"/>
      <c r="HYM13" s="319"/>
      <c r="HYN13" s="319"/>
      <c r="HYO13" s="319"/>
      <c r="HYP13" s="319"/>
      <c r="HYQ13" s="319"/>
      <c r="HYR13" s="319"/>
      <c r="HYS13" s="319"/>
      <c r="HYT13" s="319"/>
      <c r="HYU13" s="319"/>
      <c r="HYV13" s="319"/>
      <c r="HYW13" s="319"/>
      <c r="HYX13" s="319"/>
      <c r="HYY13" s="319"/>
      <c r="HYZ13" s="319"/>
      <c r="HZA13" s="319"/>
      <c r="HZB13" s="319"/>
      <c r="HZC13" s="319"/>
      <c r="HZD13" s="319"/>
      <c r="HZE13" s="319"/>
      <c r="HZF13" s="319"/>
      <c r="HZG13" s="319"/>
      <c r="HZH13" s="319"/>
      <c r="HZI13" s="319"/>
      <c r="HZJ13" s="319"/>
      <c r="HZK13" s="319"/>
      <c r="HZL13" s="319"/>
      <c r="HZM13" s="319"/>
      <c r="HZN13" s="319"/>
      <c r="HZO13" s="319"/>
      <c r="HZP13" s="319"/>
      <c r="HZQ13" s="319"/>
      <c r="HZR13" s="319"/>
      <c r="HZS13" s="319"/>
      <c r="HZT13" s="319"/>
      <c r="HZU13" s="319"/>
      <c r="HZV13" s="319"/>
      <c r="HZW13" s="319"/>
      <c r="HZX13" s="319"/>
      <c r="HZY13" s="319"/>
      <c r="HZZ13" s="319"/>
      <c r="IAA13" s="319"/>
      <c r="IAB13" s="319"/>
      <c r="IAC13" s="319"/>
      <c r="IAD13" s="319"/>
      <c r="IAE13" s="319"/>
      <c r="IAF13" s="319"/>
      <c r="IAG13" s="319"/>
      <c r="IAH13" s="319"/>
      <c r="IAI13" s="319"/>
      <c r="IAJ13" s="319"/>
      <c r="IAK13" s="319"/>
      <c r="IAL13" s="319"/>
      <c r="IAM13" s="319"/>
      <c r="IAN13" s="319"/>
      <c r="IAO13" s="319"/>
      <c r="IAP13" s="319"/>
      <c r="IAQ13" s="319"/>
      <c r="IAR13" s="319"/>
      <c r="IAS13" s="319"/>
      <c r="IAT13" s="319"/>
      <c r="IAU13" s="319"/>
      <c r="IAV13" s="319"/>
      <c r="IAW13" s="319"/>
      <c r="IAX13" s="319"/>
      <c r="IAY13" s="319"/>
      <c r="IAZ13" s="319"/>
      <c r="IBA13" s="319"/>
      <c r="IBB13" s="319"/>
      <c r="IBC13" s="319"/>
      <c r="IBD13" s="319"/>
      <c r="IBE13" s="319"/>
      <c r="IBF13" s="319"/>
      <c r="IBG13" s="319"/>
      <c r="IBH13" s="319"/>
      <c r="IBI13" s="319"/>
      <c r="IBJ13" s="319"/>
      <c r="IBK13" s="319"/>
      <c r="IBL13" s="319"/>
      <c r="IBM13" s="319"/>
      <c r="IBN13" s="319"/>
      <c r="IBO13" s="319"/>
      <c r="IBP13" s="319"/>
      <c r="IBQ13" s="319"/>
      <c r="IBR13" s="319"/>
      <c r="IBS13" s="319"/>
      <c r="IBT13" s="319"/>
      <c r="IBU13" s="319"/>
      <c r="IBV13" s="319"/>
      <c r="IBW13" s="319"/>
      <c r="IBX13" s="319"/>
      <c r="IBY13" s="319"/>
      <c r="IBZ13" s="319"/>
      <c r="ICA13" s="319"/>
      <c r="ICB13" s="319"/>
      <c r="ICC13" s="319"/>
      <c r="ICD13" s="319"/>
      <c r="ICE13" s="319"/>
      <c r="ICF13" s="319"/>
      <c r="ICG13" s="319"/>
      <c r="ICH13" s="319"/>
      <c r="ICI13" s="319"/>
      <c r="ICJ13" s="319"/>
      <c r="ICK13" s="319"/>
      <c r="ICL13" s="319"/>
      <c r="ICM13" s="319"/>
      <c r="ICN13" s="319"/>
      <c r="ICO13" s="319"/>
      <c r="ICP13" s="319"/>
      <c r="ICQ13" s="319"/>
      <c r="ICR13" s="319"/>
      <c r="ICS13" s="319"/>
      <c r="ICT13" s="319"/>
      <c r="ICU13" s="319"/>
      <c r="ICV13" s="319"/>
      <c r="ICW13" s="319"/>
      <c r="ICX13" s="319"/>
      <c r="ICY13" s="319"/>
      <c r="ICZ13" s="319"/>
      <c r="IDA13" s="319"/>
      <c r="IDB13" s="319"/>
      <c r="IDC13" s="319"/>
      <c r="IDD13" s="319"/>
      <c r="IDE13" s="319"/>
      <c r="IDF13" s="319"/>
      <c r="IDG13" s="319"/>
      <c r="IDH13" s="319"/>
      <c r="IDI13" s="319"/>
      <c r="IDJ13" s="319"/>
      <c r="IDK13" s="319"/>
      <c r="IDL13" s="319"/>
      <c r="IDM13" s="319"/>
      <c r="IDN13" s="319"/>
      <c r="IDO13" s="319"/>
      <c r="IDP13" s="319"/>
      <c r="IDQ13" s="319"/>
      <c r="IDR13" s="319"/>
      <c r="IDS13" s="319"/>
      <c r="IDT13" s="319"/>
      <c r="IDU13" s="319"/>
      <c r="IDV13" s="319"/>
      <c r="IDW13" s="319"/>
      <c r="IDX13" s="319"/>
      <c r="IDY13" s="319"/>
      <c r="IDZ13" s="319"/>
      <c r="IEA13" s="319"/>
      <c r="IEB13" s="319"/>
      <c r="IEC13" s="319"/>
      <c r="IED13" s="319"/>
      <c r="IEE13" s="319"/>
      <c r="IEF13" s="319"/>
      <c r="IEG13" s="319"/>
      <c r="IEH13" s="319"/>
      <c r="IEI13" s="319"/>
      <c r="IEJ13" s="319"/>
      <c r="IEK13" s="319"/>
      <c r="IEL13" s="319"/>
      <c r="IEM13" s="319"/>
      <c r="IEN13" s="319"/>
      <c r="IEO13" s="319"/>
      <c r="IEP13" s="319"/>
      <c r="IEQ13" s="319"/>
      <c r="IER13" s="319"/>
      <c r="IES13" s="319"/>
      <c r="IET13" s="319"/>
      <c r="IEU13" s="319"/>
      <c r="IEV13" s="319"/>
      <c r="IEW13" s="319"/>
      <c r="IEX13" s="319"/>
      <c r="IEY13" s="319"/>
      <c r="IEZ13" s="319"/>
      <c r="IFA13" s="319"/>
      <c r="IFB13" s="319"/>
      <c r="IFC13" s="319"/>
      <c r="IFD13" s="319"/>
      <c r="IFE13" s="319"/>
      <c r="IFF13" s="319"/>
      <c r="IFG13" s="319"/>
      <c r="IFH13" s="319"/>
      <c r="IFI13" s="319"/>
      <c r="IFJ13" s="319"/>
      <c r="IFK13" s="319"/>
      <c r="IFL13" s="319"/>
      <c r="IFM13" s="319"/>
      <c r="IFN13" s="319"/>
      <c r="IFO13" s="319"/>
      <c r="IFP13" s="319"/>
      <c r="IFQ13" s="319"/>
      <c r="IFR13" s="319"/>
      <c r="IFS13" s="319"/>
      <c r="IFT13" s="319"/>
      <c r="IFU13" s="319"/>
      <c r="IFV13" s="319"/>
      <c r="IFW13" s="319"/>
      <c r="IFX13" s="319"/>
      <c r="IFY13" s="319"/>
      <c r="IFZ13" s="319"/>
      <c r="IGA13" s="319"/>
      <c r="IGB13" s="319"/>
      <c r="IGC13" s="319"/>
      <c r="IGD13" s="319"/>
      <c r="IGE13" s="319"/>
      <c r="IGF13" s="319"/>
      <c r="IGG13" s="319"/>
      <c r="IGH13" s="319"/>
      <c r="IGI13" s="319"/>
      <c r="IGJ13" s="319"/>
      <c r="IGK13" s="319"/>
      <c r="IGL13" s="319"/>
      <c r="IGM13" s="319"/>
      <c r="IGN13" s="319"/>
      <c r="IGO13" s="319"/>
      <c r="IGP13" s="319"/>
      <c r="IGQ13" s="319"/>
      <c r="IGR13" s="319"/>
      <c r="IGS13" s="319"/>
      <c r="IGT13" s="319"/>
      <c r="IGU13" s="319"/>
      <c r="IGV13" s="319"/>
      <c r="IGW13" s="319"/>
      <c r="IGX13" s="319"/>
      <c r="IGY13" s="319"/>
      <c r="IGZ13" s="319"/>
      <c r="IHA13" s="319"/>
      <c r="IHB13" s="319"/>
      <c r="IHC13" s="319"/>
      <c r="IHD13" s="319"/>
      <c r="IHE13" s="319"/>
      <c r="IHF13" s="319"/>
      <c r="IHG13" s="319"/>
      <c r="IHH13" s="319"/>
      <c r="IHI13" s="319"/>
      <c r="IHJ13" s="319"/>
      <c r="IHK13" s="319"/>
      <c r="IHL13" s="319"/>
      <c r="IHM13" s="319"/>
      <c r="IHN13" s="319"/>
      <c r="IHO13" s="319"/>
      <c r="IHP13" s="319"/>
      <c r="IHQ13" s="319"/>
      <c r="IHR13" s="319"/>
      <c r="IHS13" s="319"/>
      <c r="IHT13" s="319"/>
      <c r="IHU13" s="319"/>
      <c r="IHV13" s="319"/>
      <c r="IHW13" s="319"/>
      <c r="IHX13" s="319"/>
      <c r="IHY13" s="319"/>
      <c r="IHZ13" s="319"/>
      <c r="IIA13" s="319"/>
      <c r="IIB13" s="319"/>
      <c r="IIC13" s="319"/>
      <c r="IID13" s="319"/>
      <c r="IIE13" s="319"/>
      <c r="IIF13" s="319"/>
      <c r="IIG13" s="319"/>
      <c r="IIH13" s="319"/>
      <c r="III13" s="319"/>
      <c r="IIJ13" s="319"/>
      <c r="IIK13" s="319"/>
      <c r="IIL13" s="319"/>
      <c r="IIM13" s="319"/>
      <c r="IIN13" s="319"/>
      <c r="IIO13" s="319"/>
      <c r="IIP13" s="319"/>
      <c r="IIQ13" s="319"/>
      <c r="IIR13" s="319"/>
      <c r="IIS13" s="319"/>
      <c r="IIT13" s="319"/>
      <c r="IIU13" s="319"/>
      <c r="IIV13" s="319"/>
      <c r="IIW13" s="319"/>
      <c r="IIX13" s="319"/>
      <c r="IIY13" s="319"/>
      <c r="IIZ13" s="319"/>
      <c r="IJA13" s="319"/>
      <c r="IJB13" s="319"/>
      <c r="IJC13" s="319"/>
      <c r="IJD13" s="319"/>
      <c r="IJE13" s="319"/>
      <c r="IJF13" s="319"/>
      <c r="IJG13" s="319"/>
      <c r="IJH13" s="319"/>
      <c r="IJI13" s="319"/>
      <c r="IJJ13" s="319"/>
      <c r="IJK13" s="319"/>
      <c r="IJL13" s="319"/>
      <c r="IJM13" s="319"/>
      <c r="IJN13" s="319"/>
      <c r="IJO13" s="319"/>
      <c r="IJP13" s="319"/>
      <c r="IJQ13" s="319"/>
      <c r="IJR13" s="319"/>
      <c r="IJS13" s="319"/>
      <c r="IJT13" s="319"/>
      <c r="IJU13" s="319"/>
      <c r="IJV13" s="319"/>
      <c r="IJW13" s="319"/>
      <c r="IJX13" s="319"/>
      <c r="IJY13" s="319"/>
      <c r="IJZ13" s="319"/>
      <c r="IKA13" s="319"/>
      <c r="IKB13" s="319"/>
      <c r="IKC13" s="319"/>
      <c r="IKD13" s="319"/>
      <c r="IKE13" s="319"/>
      <c r="IKF13" s="319"/>
      <c r="IKG13" s="319"/>
      <c r="IKH13" s="319"/>
      <c r="IKI13" s="319"/>
      <c r="IKJ13" s="319"/>
      <c r="IKK13" s="319"/>
      <c r="IKL13" s="319"/>
      <c r="IKM13" s="319"/>
      <c r="IKN13" s="319"/>
      <c r="IKO13" s="319"/>
      <c r="IKP13" s="319"/>
      <c r="IKQ13" s="319"/>
      <c r="IKR13" s="319"/>
      <c r="IKS13" s="319"/>
      <c r="IKT13" s="319"/>
      <c r="IKU13" s="319"/>
      <c r="IKV13" s="319"/>
      <c r="IKW13" s="319"/>
      <c r="IKX13" s="319"/>
      <c r="IKY13" s="319"/>
      <c r="IKZ13" s="319"/>
      <c r="ILA13" s="319"/>
      <c r="ILB13" s="319"/>
      <c r="ILC13" s="319"/>
      <c r="ILD13" s="319"/>
      <c r="ILE13" s="319"/>
      <c r="ILF13" s="319"/>
      <c r="ILG13" s="319"/>
      <c r="ILH13" s="319"/>
      <c r="ILI13" s="319"/>
      <c r="ILJ13" s="319"/>
      <c r="ILK13" s="319"/>
      <c r="ILL13" s="319"/>
      <c r="ILM13" s="319"/>
      <c r="ILN13" s="319"/>
      <c r="ILO13" s="319"/>
      <c r="ILP13" s="319"/>
      <c r="ILQ13" s="319"/>
      <c r="ILR13" s="319"/>
      <c r="ILS13" s="319"/>
      <c r="ILT13" s="319"/>
      <c r="ILU13" s="319"/>
      <c r="ILV13" s="319"/>
      <c r="ILW13" s="319"/>
      <c r="ILX13" s="319"/>
      <c r="ILY13" s="319"/>
      <c r="ILZ13" s="319"/>
      <c r="IMA13" s="319"/>
      <c r="IMB13" s="319"/>
      <c r="IMC13" s="319"/>
      <c r="IMD13" s="319"/>
      <c r="IME13" s="319"/>
      <c r="IMF13" s="319"/>
      <c r="IMG13" s="319"/>
      <c r="IMH13" s="319"/>
      <c r="IMI13" s="319"/>
      <c r="IMJ13" s="319"/>
      <c r="IMK13" s="319"/>
      <c r="IML13" s="319"/>
      <c r="IMM13" s="319"/>
      <c r="IMN13" s="319"/>
      <c r="IMO13" s="319"/>
      <c r="IMP13" s="319"/>
      <c r="IMQ13" s="319"/>
      <c r="IMR13" s="319"/>
      <c r="IMS13" s="319"/>
      <c r="IMT13" s="319"/>
      <c r="IMU13" s="319"/>
      <c r="IMV13" s="319"/>
      <c r="IMW13" s="319"/>
      <c r="IMX13" s="319"/>
      <c r="IMY13" s="319"/>
      <c r="IMZ13" s="319"/>
      <c r="INA13" s="319"/>
      <c r="INB13" s="319"/>
      <c r="INC13" s="319"/>
      <c r="IND13" s="319"/>
      <c r="INE13" s="319"/>
      <c r="INF13" s="319"/>
      <c r="ING13" s="319"/>
      <c r="INH13" s="319"/>
      <c r="INI13" s="319"/>
      <c r="INJ13" s="319"/>
      <c r="INK13" s="319"/>
      <c r="INL13" s="319"/>
      <c r="INM13" s="319"/>
      <c r="INN13" s="319"/>
      <c r="INO13" s="319"/>
      <c r="INP13" s="319"/>
      <c r="INQ13" s="319"/>
      <c r="INR13" s="319"/>
      <c r="INS13" s="319"/>
      <c r="INT13" s="319"/>
      <c r="INU13" s="319"/>
      <c r="INV13" s="319"/>
      <c r="INW13" s="319"/>
      <c r="INX13" s="319"/>
      <c r="INY13" s="319"/>
      <c r="INZ13" s="319"/>
      <c r="IOA13" s="319"/>
      <c r="IOB13" s="319"/>
      <c r="IOC13" s="319"/>
      <c r="IOD13" s="319"/>
      <c r="IOE13" s="319"/>
      <c r="IOF13" s="319"/>
      <c r="IOG13" s="319"/>
      <c r="IOH13" s="319"/>
      <c r="IOI13" s="319"/>
      <c r="IOJ13" s="319"/>
      <c r="IOK13" s="319"/>
      <c r="IOL13" s="319"/>
      <c r="IOM13" s="319"/>
      <c r="ION13" s="319"/>
      <c r="IOO13" s="319"/>
      <c r="IOP13" s="319"/>
      <c r="IOQ13" s="319"/>
      <c r="IOR13" s="319"/>
      <c r="IOS13" s="319"/>
      <c r="IOT13" s="319"/>
      <c r="IOU13" s="319"/>
      <c r="IOV13" s="319"/>
      <c r="IOW13" s="319"/>
      <c r="IOX13" s="319"/>
      <c r="IOY13" s="319"/>
      <c r="IOZ13" s="319"/>
      <c r="IPA13" s="319"/>
      <c r="IPB13" s="319"/>
      <c r="IPC13" s="319"/>
      <c r="IPD13" s="319"/>
      <c r="IPE13" s="319"/>
      <c r="IPF13" s="319"/>
      <c r="IPG13" s="319"/>
      <c r="IPH13" s="319"/>
      <c r="IPI13" s="319"/>
      <c r="IPJ13" s="319"/>
      <c r="IPK13" s="319"/>
      <c r="IPL13" s="319"/>
      <c r="IPM13" s="319"/>
      <c r="IPN13" s="319"/>
      <c r="IPO13" s="319"/>
      <c r="IPP13" s="319"/>
      <c r="IPQ13" s="319"/>
      <c r="IPR13" s="319"/>
      <c r="IPS13" s="319"/>
      <c r="IPT13" s="319"/>
      <c r="IPU13" s="319"/>
      <c r="IPV13" s="319"/>
      <c r="IPW13" s="319"/>
      <c r="IPX13" s="319"/>
      <c r="IPY13" s="319"/>
      <c r="IPZ13" s="319"/>
      <c r="IQA13" s="319"/>
      <c r="IQB13" s="319"/>
      <c r="IQC13" s="319"/>
      <c r="IQD13" s="319"/>
      <c r="IQE13" s="319"/>
      <c r="IQF13" s="319"/>
      <c r="IQG13" s="319"/>
      <c r="IQH13" s="319"/>
      <c r="IQI13" s="319"/>
      <c r="IQJ13" s="319"/>
      <c r="IQK13" s="319"/>
      <c r="IQL13" s="319"/>
      <c r="IQM13" s="319"/>
      <c r="IQN13" s="319"/>
      <c r="IQO13" s="319"/>
      <c r="IQP13" s="319"/>
      <c r="IQQ13" s="319"/>
      <c r="IQR13" s="319"/>
      <c r="IQS13" s="319"/>
      <c r="IQT13" s="319"/>
      <c r="IQU13" s="319"/>
      <c r="IQV13" s="319"/>
      <c r="IQW13" s="319"/>
      <c r="IQX13" s="319"/>
      <c r="IQY13" s="319"/>
      <c r="IQZ13" s="319"/>
      <c r="IRA13" s="319"/>
      <c r="IRB13" s="319"/>
      <c r="IRC13" s="319"/>
      <c r="IRD13" s="319"/>
      <c r="IRE13" s="319"/>
      <c r="IRF13" s="319"/>
      <c r="IRG13" s="319"/>
      <c r="IRH13" s="319"/>
      <c r="IRI13" s="319"/>
      <c r="IRJ13" s="319"/>
      <c r="IRK13" s="319"/>
      <c r="IRL13" s="319"/>
      <c r="IRM13" s="319"/>
      <c r="IRN13" s="319"/>
      <c r="IRO13" s="319"/>
      <c r="IRP13" s="319"/>
      <c r="IRQ13" s="319"/>
      <c r="IRR13" s="319"/>
      <c r="IRS13" s="319"/>
      <c r="IRT13" s="319"/>
      <c r="IRU13" s="319"/>
      <c r="IRV13" s="319"/>
      <c r="IRW13" s="319"/>
      <c r="IRX13" s="319"/>
      <c r="IRY13" s="319"/>
      <c r="IRZ13" s="319"/>
      <c r="ISA13" s="319"/>
      <c r="ISB13" s="319"/>
      <c r="ISC13" s="319"/>
      <c r="ISD13" s="319"/>
      <c r="ISE13" s="319"/>
      <c r="ISF13" s="319"/>
      <c r="ISG13" s="319"/>
      <c r="ISH13" s="319"/>
      <c r="ISI13" s="319"/>
      <c r="ISJ13" s="319"/>
      <c r="ISK13" s="319"/>
      <c r="ISL13" s="319"/>
      <c r="ISM13" s="319"/>
      <c r="ISN13" s="319"/>
      <c r="ISO13" s="319"/>
      <c r="ISP13" s="319"/>
      <c r="ISQ13" s="319"/>
      <c r="ISR13" s="319"/>
      <c r="ISS13" s="319"/>
      <c r="IST13" s="319"/>
      <c r="ISU13" s="319"/>
      <c r="ISV13" s="319"/>
      <c r="ISW13" s="319"/>
      <c r="ISX13" s="319"/>
      <c r="ISY13" s="319"/>
      <c r="ISZ13" s="319"/>
      <c r="ITA13" s="319"/>
      <c r="ITB13" s="319"/>
      <c r="ITC13" s="319"/>
      <c r="ITD13" s="319"/>
      <c r="ITE13" s="319"/>
      <c r="ITF13" s="319"/>
      <c r="ITG13" s="319"/>
      <c r="ITH13" s="319"/>
      <c r="ITI13" s="319"/>
      <c r="ITJ13" s="319"/>
      <c r="ITK13" s="319"/>
      <c r="ITL13" s="319"/>
      <c r="ITM13" s="319"/>
      <c r="ITN13" s="319"/>
      <c r="ITO13" s="319"/>
      <c r="ITP13" s="319"/>
      <c r="ITQ13" s="319"/>
      <c r="ITR13" s="319"/>
      <c r="ITS13" s="319"/>
      <c r="ITT13" s="319"/>
      <c r="ITU13" s="319"/>
      <c r="ITV13" s="319"/>
      <c r="ITW13" s="319"/>
      <c r="ITX13" s="319"/>
      <c r="ITY13" s="319"/>
      <c r="ITZ13" s="319"/>
      <c r="IUA13" s="319"/>
      <c r="IUB13" s="319"/>
      <c r="IUC13" s="319"/>
      <c r="IUD13" s="319"/>
      <c r="IUE13" s="319"/>
      <c r="IUF13" s="319"/>
      <c r="IUG13" s="319"/>
      <c r="IUH13" s="319"/>
      <c r="IUI13" s="319"/>
      <c r="IUJ13" s="319"/>
      <c r="IUK13" s="319"/>
      <c r="IUL13" s="319"/>
      <c r="IUM13" s="319"/>
      <c r="IUN13" s="319"/>
      <c r="IUO13" s="319"/>
      <c r="IUP13" s="319"/>
      <c r="IUQ13" s="319"/>
      <c r="IUR13" s="319"/>
      <c r="IUS13" s="319"/>
      <c r="IUT13" s="319"/>
      <c r="IUU13" s="319"/>
      <c r="IUV13" s="319"/>
      <c r="IUW13" s="319"/>
      <c r="IUX13" s="319"/>
      <c r="IUY13" s="319"/>
      <c r="IUZ13" s="319"/>
      <c r="IVA13" s="319"/>
      <c r="IVB13" s="319"/>
      <c r="IVC13" s="319"/>
      <c r="IVD13" s="319"/>
      <c r="IVE13" s="319"/>
      <c r="IVF13" s="319"/>
      <c r="IVG13" s="319"/>
      <c r="IVH13" s="319"/>
      <c r="IVI13" s="319"/>
      <c r="IVJ13" s="319"/>
      <c r="IVK13" s="319"/>
      <c r="IVL13" s="319"/>
      <c r="IVM13" s="319"/>
      <c r="IVN13" s="319"/>
      <c r="IVO13" s="319"/>
      <c r="IVP13" s="319"/>
      <c r="IVQ13" s="319"/>
      <c r="IVR13" s="319"/>
      <c r="IVS13" s="319"/>
      <c r="IVT13" s="319"/>
      <c r="IVU13" s="319"/>
      <c r="IVV13" s="319"/>
      <c r="IVW13" s="319"/>
      <c r="IVX13" s="319"/>
      <c r="IVY13" s="319"/>
      <c r="IVZ13" s="319"/>
      <c r="IWA13" s="319"/>
      <c r="IWB13" s="319"/>
      <c r="IWC13" s="319"/>
      <c r="IWD13" s="319"/>
      <c r="IWE13" s="319"/>
      <c r="IWF13" s="319"/>
      <c r="IWG13" s="319"/>
      <c r="IWH13" s="319"/>
      <c r="IWI13" s="319"/>
      <c r="IWJ13" s="319"/>
      <c r="IWK13" s="319"/>
      <c r="IWL13" s="319"/>
      <c r="IWM13" s="319"/>
      <c r="IWN13" s="319"/>
      <c r="IWO13" s="319"/>
      <c r="IWP13" s="319"/>
      <c r="IWQ13" s="319"/>
      <c r="IWR13" s="319"/>
      <c r="IWS13" s="319"/>
      <c r="IWT13" s="319"/>
      <c r="IWU13" s="319"/>
      <c r="IWV13" s="319"/>
      <c r="IWW13" s="319"/>
      <c r="IWX13" s="319"/>
      <c r="IWY13" s="319"/>
      <c r="IWZ13" s="319"/>
      <c r="IXA13" s="319"/>
      <c r="IXB13" s="319"/>
      <c r="IXC13" s="319"/>
      <c r="IXD13" s="319"/>
      <c r="IXE13" s="319"/>
      <c r="IXF13" s="319"/>
      <c r="IXG13" s="319"/>
      <c r="IXH13" s="319"/>
      <c r="IXI13" s="319"/>
      <c r="IXJ13" s="319"/>
      <c r="IXK13" s="319"/>
      <c r="IXL13" s="319"/>
      <c r="IXM13" s="319"/>
      <c r="IXN13" s="319"/>
      <c r="IXO13" s="319"/>
      <c r="IXP13" s="319"/>
      <c r="IXQ13" s="319"/>
      <c r="IXR13" s="319"/>
      <c r="IXS13" s="319"/>
      <c r="IXT13" s="319"/>
      <c r="IXU13" s="319"/>
      <c r="IXV13" s="319"/>
      <c r="IXW13" s="319"/>
      <c r="IXX13" s="319"/>
      <c r="IXY13" s="319"/>
      <c r="IXZ13" s="319"/>
      <c r="IYA13" s="319"/>
      <c r="IYB13" s="319"/>
      <c r="IYC13" s="319"/>
      <c r="IYD13" s="319"/>
      <c r="IYE13" s="319"/>
      <c r="IYF13" s="319"/>
      <c r="IYG13" s="319"/>
      <c r="IYH13" s="319"/>
      <c r="IYI13" s="319"/>
      <c r="IYJ13" s="319"/>
      <c r="IYK13" s="319"/>
      <c r="IYL13" s="319"/>
      <c r="IYM13" s="319"/>
      <c r="IYN13" s="319"/>
      <c r="IYO13" s="319"/>
      <c r="IYP13" s="319"/>
      <c r="IYQ13" s="319"/>
      <c r="IYR13" s="319"/>
      <c r="IYS13" s="319"/>
      <c r="IYT13" s="319"/>
      <c r="IYU13" s="319"/>
      <c r="IYV13" s="319"/>
      <c r="IYW13" s="319"/>
      <c r="IYX13" s="319"/>
      <c r="IYY13" s="319"/>
      <c r="IYZ13" s="319"/>
      <c r="IZA13" s="319"/>
      <c r="IZB13" s="319"/>
      <c r="IZC13" s="319"/>
      <c r="IZD13" s="319"/>
      <c r="IZE13" s="319"/>
      <c r="IZF13" s="319"/>
      <c r="IZG13" s="319"/>
      <c r="IZH13" s="319"/>
      <c r="IZI13" s="319"/>
      <c r="IZJ13" s="319"/>
      <c r="IZK13" s="319"/>
      <c r="IZL13" s="319"/>
      <c r="IZM13" s="319"/>
      <c r="IZN13" s="319"/>
      <c r="IZO13" s="319"/>
      <c r="IZP13" s="319"/>
      <c r="IZQ13" s="319"/>
      <c r="IZR13" s="319"/>
      <c r="IZS13" s="319"/>
      <c r="IZT13" s="319"/>
      <c r="IZU13" s="319"/>
      <c r="IZV13" s="319"/>
      <c r="IZW13" s="319"/>
      <c r="IZX13" s="319"/>
      <c r="IZY13" s="319"/>
      <c r="IZZ13" s="319"/>
      <c r="JAA13" s="319"/>
      <c r="JAB13" s="319"/>
      <c r="JAC13" s="319"/>
      <c r="JAD13" s="319"/>
      <c r="JAE13" s="319"/>
      <c r="JAF13" s="319"/>
      <c r="JAG13" s="319"/>
      <c r="JAH13" s="319"/>
      <c r="JAI13" s="319"/>
      <c r="JAJ13" s="319"/>
      <c r="JAK13" s="319"/>
      <c r="JAL13" s="319"/>
      <c r="JAM13" s="319"/>
      <c r="JAN13" s="319"/>
      <c r="JAO13" s="319"/>
      <c r="JAP13" s="319"/>
      <c r="JAQ13" s="319"/>
      <c r="JAR13" s="319"/>
      <c r="JAS13" s="319"/>
      <c r="JAT13" s="319"/>
      <c r="JAU13" s="319"/>
      <c r="JAV13" s="319"/>
      <c r="JAW13" s="319"/>
      <c r="JAX13" s="319"/>
      <c r="JAY13" s="319"/>
      <c r="JAZ13" s="319"/>
      <c r="JBA13" s="319"/>
      <c r="JBB13" s="319"/>
      <c r="JBC13" s="319"/>
      <c r="JBD13" s="319"/>
      <c r="JBE13" s="319"/>
      <c r="JBF13" s="319"/>
      <c r="JBG13" s="319"/>
      <c r="JBH13" s="319"/>
      <c r="JBI13" s="319"/>
      <c r="JBJ13" s="319"/>
      <c r="JBK13" s="319"/>
      <c r="JBL13" s="319"/>
      <c r="JBM13" s="319"/>
      <c r="JBN13" s="319"/>
      <c r="JBO13" s="319"/>
      <c r="JBP13" s="319"/>
      <c r="JBQ13" s="319"/>
      <c r="JBR13" s="319"/>
      <c r="JBS13" s="319"/>
      <c r="JBT13" s="319"/>
      <c r="JBU13" s="319"/>
      <c r="JBV13" s="319"/>
      <c r="JBW13" s="319"/>
      <c r="JBX13" s="319"/>
      <c r="JBY13" s="319"/>
      <c r="JBZ13" s="319"/>
      <c r="JCA13" s="319"/>
      <c r="JCB13" s="319"/>
      <c r="JCC13" s="319"/>
      <c r="JCD13" s="319"/>
      <c r="JCE13" s="319"/>
      <c r="JCF13" s="319"/>
      <c r="JCG13" s="319"/>
      <c r="JCH13" s="319"/>
      <c r="JCI13" s="319"/>
      <c r="JCJ13" s="319"/>
      <c r="JCK13" s="319"/>
      <c r="JCL13" s="319"/>
      <c r="JCM13" s="319"/>
      <c r="JCN13" s="319"/>
      <c r="JCO13" s="319"/>
      <c r="JCP13" s="319"/>
      <c r="JCQ13" s="319"/>
      <c r="JCR13" s="319"/>
      <c r="JCS13" s="319"/>
      <c r="JCT13" s="319"/>
      <c r="JCU13" s="319"/>
      <c r="JCV13" s="319"/>
      <c r="JCW13" s="319"/>
      <c r="JCX13" s="319"/>
      <c r="JCY13" s="319"/>
      <c r="JCZ13" s="319"/>
      <c r="JDA13" s="319"/>
      <c r="JDB13" s="319"/>
      <c r="JDC13" s="319"/>
      <c r="JDD13" s="319"/>
      <c r="JDE13" s="319"/>
      <c r="JDF13" s="319"/>
      <c r="JDG13" s="319"/>
      <c r="JDH13" s="319"/>
      <c r="JDI13" s="319"/>
      <c r="JDJ13" s="319"/>
      <c r="JDK13" s="319"/>
      <c r="JDL13" s="319"/>
      <c r="JDM13" s="319"/>
      <c r="JDN13" s="319"/>
      <c r="JDO13" s="319"/>
      <c r="JDP13" s="319"/>
      <c r="JDQ13" s="319"/>
      <c r="JDR13" s="319"/>
      <c r="JDS13" s="319"/>
      <c r="JDT13" s="319"/>
      <c r="JDU13" s="319"/>
      <c r="JDV13" s="319"/>
      <c r="JDW13" s="319"/>
      <c r="JDX13" s="319"/>
      <c r="JDY13" s="319"/>
      <c r="JDZ13" s="319"/>
      <c r="JEA13" s="319"/>
      <c r="JEB13" s="319"/>
      <c r="JEC13" s="319"/>
      <c r="JED13" s="319"/>
      <c r="JEE13" s="319"/>
      <c r="JEF13" s="319"/>
      <c r="JEG13" s="319"/>
      <c r="JEH13" s="319"/>
      <c r="JEI13" s="319"/>
      <c r="JEJ13" s="319"/>
      <c r="JEK13" s="319"/>
      <c r="JEL13" s="319"/>
      <c r="JEM13" s="319"/>
      <c r="JEN13" s="319"/>
      <c r="JEO13" s="319"/>
      <c r="JEP13" s="319"/>
      <c r="JEQ13" s="319"/>
      <c r="JER13" s="319"/>
      <c r="JES13" s="319"/>
      <c r="JET13" s="319"/>
      <c r="JEU13" s="319"/>
      <c r="JEV13" s="319"/>
      <c r="JEW13" s="319"/>
      <c r="JEX13" s="319"/>
      <c r="JEY13" s="319"/>
      <c r="JEZ13" s="319"/>
      <c r="JFA13" s="319"/>
      <c r="JFB13" s="319"/>
      <c r="JFC13" s="319"/>
      <c r="JFD13" s="319"/>
      <c r="JFE13" s="319"/>
      <c r="JFF13" s="319"/>
      <c r="JFG13" s="319"/>
      <c r="JFH13" s="319"/>
      <c r="JFI13" s="319"/>
      <c r="JFJ13" s="319"/>
      <c r="JFK13" s="319"/>
      <c r="JFL13" s="319"/>
      <c r="JFM13" s="319"/>
      <c r="JFN13" s="319"/>
      <c r="JFO13" s="319"/>
      <c r="JFP13" s="319"/>
      <c r="JFQ13" s="319"/>
      <c r="JFR13" s="319"/>
      <c r="JFS13" s="319"/>
      <c r="JFT13" s="319"/>
      <c r="JFU13" s="319"/>
      <c r="JFV13" s="319"/>
      <c r="JFW13" s="319"/>
      <c r="JFX13" s="319"/>
      <c r="JFY13" s="319"/>
      <c r="JFZ13" s="319"/>
      <c r="JGA13" s="319"/>
      <c r="JGB13" s="319"/>
      <c r="JGC13" s="319"/>
      <c r="JGD13" s="319"/>
      <c r="JGE13" s="319"/>
      <c r="JGF13" s="319"/>
      <c r="JGG13" s="319"/>
      <c r="JGH13" s="319"/>
      <c r="JGI13" s="319"/>
      <c r="JGJ13" s="319"/>
      <c r="JGK13" s="319"/>
      <c r="JGL13" s="319"/>
      <c r="JGM13" s="319"/>
      <c r="JGN13" s="319"/>
      <c r="JGO13" s="319"/>
      <c r="JGP13" s="319"/>
      <c r="JGQ13" s="319"/>
      <c r="JGR13" s="319"/>
      <c r="JGS13" s="319"/>
      <c r="JGT13" s="319"/>
      <c r="JGU13" s="319"/>
      <c r="JGV13" s="319"/>
      <c r="JGW13" s="319"/>
      <c r="JGX13" s="319"/>
      <c r="JGY13" s="319"/>
      <c r="JGZ13" s="319"/>
      <c r="JHA13" s="319"/>
      <c r="JHB13" s="319"/>
      <c r="JHC13" s="319"/>
      <c r="JHD13" s="319"/>
      <c r="JHE13" s="319"/>
      <c r="JHF13" s="319"/>
      <c r="JHG13" s="319"/>
      <c r="JHH13" s="319"/>
      <c r="JHI13" s="319"/>
      <c r="JHJ13" s="319"/>
      <c r="JHK13" s="319"/>
      <c r="JHL13" s="319"/>
      <c r="JHM13" s="319"/>
      <c r="JHN13" s="319"/>
      <c r="JHO13" s="319"/>
      <c r="JHP13" s="319"/>
      <c r="JHQ13" s="319"/>
      <c r="JHR13" s="319"/>
      <c r="JHS13" s="319"/>
      <c r="JHT13" s="319"/>
      <c r="JHU13" s="319"/>
      <c r="JHV13" s="319"/>
      <c r="JHW13" s="319"/>
      <c r="JHX13" s="319"/>
      <c r="JHY13" s="319"/>
      <c r="JHZ13" s="319"/>
      <c r="JIA13" s="319"/>
      <c r="JIB13" s="319"/>
      <c r="JIC13" s="319"/>
      <c r="JID13" s="319"/>
      <c r="JIE13" s="319"/>
      <c r="JIF13" s="319"/>
      <c r="JIG13" s="319"/>
      <c r="JIH13" s="319"/>
      <c r="JII13" s="319"/>
      <c r="JIJ13" s="319"/>
      <c r="JIK13" s="319"/>
      <c r="JIL13" s="319"/>
      <c r="JIM13" s="319"/>
      <c r="JIN13" s="319"/>
      <c r="JIO13" s="319"/>
      <c r="JIP13" s="319"/>
      <c r="JIQ13" s="319"/>
      <c r="JIR13" s="319"/>
      <c r="JIS13" s="319"/>
      <c r="JIT13" s="319"/>
      <c r="JIU13" s="319"/>
      <c r="JIV13" s="319"/>
      <c r="JIW13" s="319"/>
      <c r="JIX13" s="319"/>
      <c r="JIY13" s="319"/>
      <c r="JIZ13" s="319"/>
      <c r="JJA13" s="319"/>
      <c r="JJB13" s="319"/>
      <c r="JJC13" s="319"/>
      <c r="JJD13" s="319"/>
      <c r="JJE13" s="319"/>
      <c r="JJF13" s="319"/>
      <c r="JJG13" s="319"/>
      <c r="JJH13" s="319"/>
      <c r="JJI13" s="319"/>
      <c r="JJJ13" s="319"/>
      <c r="JJK13" s="319"/>
      <c r="JJL13" s="319"/>
      <c r="JJM13" s="319"/>
      <c r="JJN13" s="319"/>
      <c r="JJO13" s="319"/>
      <c r="JJP13" s="319"/>
      <c r="JJQ13" s="319"/>
      <c r="JJR13" s="319"/>
      <c r="JJS13" s="319"/>
      <c r="JJT13" s="319"/>
      <c r="JJU13" s="319"/>
      <c r="JJV13" s="319"/>
      <c r="JJW13" s="319"/>
      <c r="JJX13" s="319"/>
      <c r="JJY13" s="319"/>
      <c r="JJZ13" s="319"/>
      <c r="JKA13" s="319"/>
      <c r="JKB13" s="319"/>
      <c r="JKC13" s="319"/>
      <c r="JKD13" s="319"/>
      <c r="JKE13" s="319"/>
      <c r="JKF13" s="319"/>
      <c r="JKG13" s="319"/>
      <c r="JKH13" s="319"/>
      <c r="JKI13" s="319"/>
      <c r="JKJ13" s="319"/>
      <c r="JKK13" s="319"/>
      <c r="JKL13" s="319"/>
      <c r="JKM13" s="319"/>
      <c r="JKN13" s="319"/>
      <c r="JKO13" s="319"/>
      <c r="JKP13" s="319"/>
      <c r="JKQ13" s="319"/>
      <c r="JKR13" s="319"/>
      <c r="JKS13" s="319"/>
      <c r="JKT13" s="319"/>
      <c r="JKU13" s="319"/>
      <c r="JKV13" s="319"/>
      <c r="JKW13" s="319"/>
      <c r="JKX13" s="319"/>
      <c r="JKY13" s="319"/>
      <c r="JKZ13" s="319"/>
      <c r="JLA13" s="319"/>
      <c r="JLB13" s="319"/>
      <c r="JLC13" s="319"/>
      <c r="JLD13" s="319"/>
      <c r="JLE13" s="319"/>
      <c r="JLF13" s="319"/>
      <c r="JLG13" s="319"/>
      <c r="JLH13" s="319"/>
      <c r="JLI13" s="319"/>
      <c r="JLJ13" s="319"/>
      <c r="JLK13" s="319"/>
      <c r="JLL13" s="319"/>
      <c r="JLM13" s="319"/>
      <c r="JLN13" s="319"/>
      <c r="JLO13" s="319"/>
      <c r="JLP13" s="319"/>
      <c r="JLQ13" s="319"/>
      <c r="JLR13" s="319"/>
      <c r="JLS13" s="319"/>
      <c r="JLT13" s="319"/>
      <c r="JLU13" s="319"/>
      <c r="JLV13" s="319"/>
      <c r="JLW13" s="319"/>
      <c r="JLX13" s="319"/>
      <c r="JLY13" s="319"/>
      <c r="JLZ13" s="319"/>
      <c r="JMA13" s="319"/>
      <c r="JMB13" s="319"/>
      <c r="JMC13" s="319"/>
      <c r="JMD13" s="319"/>
      <c r="JME13" s="319"/>
      <c r="JMF13" s="319"/>
      <c r="JMG13" s="319"/>
      <c r="JMH13" s="319"/>
      <c r="JMI13" s="319"/>
      <c r="JMJ13" s="319"/>
      <c r="JMK13" s="319"/>
      <c r="JML13" s="319"/>
      <c r="JMM13" s="319"/>
      <c r="JMN13" s="319"/>
      <c r="JMO13" s="319"/>
      <c r="JMP13" s="319"/>
      <c r="JMQ13" s="319"/>
      <c r="JMR13" s="319"/>
      <c r="JMS13" s="319"/>
      <c r="JMT13" s="319"/>
      <c r="JMU13" s="319"/>
      <c r="JMV13" s="319"/>
      <c r="JMW13" s="319"/>
      <c r="JMX13" s="319"/>
      <c r="JMY13" s="319"/>
      <c r="JMZ13" s="319"/>
      <c r="JNA13" s="319"/>
      <c r="JNB13" s="319"/>
      <c r="JNC13" s="319"/>
      <c r="JND13" s="319"/>
      <c r="JNE13" s="319"/>
      <c r="JNF13" s="319"/>
      <c r="JNG13" s="319"/>
      <c r="JNH13" s="319"/>
      <c r="JNI13" s="319"/>
      <c r="JNJ13" s="319"/>
      <c r="JNK13" s="319"/>
      <c r="JNL13" s="319"/>
      <c r="JNM13" s="319"/>
      <c r="JNN13" s="319"/>
      <c r="JNO13" s="319"/>
      <c r="JNP13" s="319"/>
      <c r="JNQ13" s="319"/>
      <c r="JNR13" s="319"/>
      <c r="JNS13" s="319"/>
      <c r="JNT13" s="319"/>
      <c r="JNU13" s="319"/>
      <c r="JNV13" s="319"/>
      <c r="JNW13" s="319"/>
      <c r="JNX13" s="319"/>
      <c r="JNY13" s="319"/>
      <c r="JNZ13" s="319"/>
      <c r="JOA13" s="319"/>
      <c r="JOB13" s="319"/>
      <c r="JOC13" s="319"/>
      <c r="JOD13" s="319"/>
      <c r="JOE13" s="319"/>
      <c r="JOF13" s="319"/>
      <c r="JOG13" s="319"/>
      <c r="JOH13" s="319"/>
      <c r="JOI13" s="319"/>
      <c r="JOJ13" s="319"/>
      <c r="JOK13" s="319"/>
      <c r="JOL13" s="319"/>
      <c r="JOM13" s="319"/>
      <c r="JON13" s="319"/>
      <c r="JOO13" s="319"/>
      <c r="JOP13" s="319"/>
      <c r="JOQ13" s="319"/>
      <c r="JOR13" s="319"/>
      <c r="JOS13" s="319"/>
      <c r="JOT13" s="319"/>
      <c r="JOU13" s="319"/>
      <c r="JOV13" s="319"/>
      <c r="JOW13" s="319"/>
      <c r="JOX13" s="319"/>
      <c r="JOY13" s="319"/>
      <c r="JOZ13" s="319"/>
      <c r="JPA13" s="319"/>
      <c r="JPB13" s="319"/>
      <c r="JPC13" s="319"/>
      <c r="JPD13" s="319"/>
      <c r="JPE13" s="319"/>
      <c r="JPF13" s="319"/>
      <c r="JPG13" s="319"/>
      <c r="JPH13" s="319"/>
      <c r="JPI13" s="319"/>
      <c r="JPJ13" s="319"/>
      <c r="JPK13" s="319"/>
      <c r="JPL13" s="319"/>
      <c r="JPM13" s="319"/>
      <c r="JPN13" s="319"/>
      <c r="JPO13" s="319"/>
      <c r="JPP13" s="319"/>
      <c r="JPQ13" s="319"/>
      <c r="JPR13" s="319"/>
      <c r="JPS13" s="319"/>
      <c r="JPT13" s="319"/>
      <c r="JPU13" s="319"/>
      <c r="JPV13" s="319"/>
      <c r="JPW13" s="319"/>
      <c r="JPX13" s="319"/>
      <c r="JPY13" s="319"/>
      <c r="JPZ13" s="319"/>
      <c r="JQA13" s="319"/>
      <c r="JQB13" s="319"/>
      <c r="JQC13" s="319"/>
      <c r="JQD13" s="319"/>
      <c r="JQE13" s="319"/>
      <c r="JQF13" s="319"/>
      <c r="JQG13" s="319"/>
      <c r="JQH13" s="319"/>
      <c r="JQI13" s="319"/>
      <c r="JQJ13" s="319"/>
      <c r="JQK13" s="319"/>
      <c r="JQL13" s="319"/>
      <c r="JQM13" s="319"/>
      <c r="JQN13" s="319"/>
      <c r="JQO13" s="319"/>
      <c r="JQP13" s="319"/>
      <c r="JQQ13" s="319"/>
      <c r="JQR13" s="319"/>
      <c r="JQS13" s="319"/>
      <c r="JQT13" s="319"/>
      <c r="JQU13" s="319"/>
      <c r="JQV13" s="319"/>
      <c r="JQW13" s="319"/>
      <c r="JQX13" s="319"/>
      <c r="JQY13" s="319"/>
      <c r="JQZ13" s="319"/>
      <c r="JRA13" s="319"/>
      <c r="JRB13" s="319"/>
      <c r="JRC13" s="319"/>
      <c r="JRD13" s="319"/>
      <c r="JRE13" s="319"/>
      <c r="JRF13" s="319"/>
      <c r="JRG13" s="319"/>
      <c r="JRH13" s="319"/>
      <c r="JRI13" s="319"/>
      <c r="JRJ13" s="319"/>
      <c r="JRK13" s="319"/>
      <c r="JRL13" s="319"/>
      <c r="JRM13" s="319"/>
      <c r="JRN13" s="319"/>
      <c r="JRO13" s="319"/>
      <c r="JRP13" s="319"/>
      <c r="JRQ13" s="319"/>
      <c r="JRR13" s="319"/>
      <c r="JRS13" s="319"/>
      <c r="JRT13" s="319"/>
      <c r="JRU13" s="319"/>
      <c r="JRV13" s="319"/>
      <c r="JRW13" s="319"/>
      <c r="JRX13" s="319"/>
      <c r="JRY13" s="319"/>
      <c r="JRZ13" s="319"/>
      <c r="JSA13" s="319"/>
      <c r="JSB13" s="319"/>
      <c r="JSC13" s="319"/>
      <c r="JSD13" s="319"/>
      <c r="JSE13" s="319"/>
      <c r="JSF13" s="319"/>
      <c r="JSG13" s="319"/>
      <c r="JSH13" s="319"/>
      <c r="JSI13" s="319"/>
      <c r="JSJ13" s="319"/>
      <c r="JSK13" s="319"/>
      <c r="JSL13" s="319"/>
      <c r="JSM13" s="319"/>
      <c r="JSN13" s="319"/>
      <c r="JSO13" s="319"/>
      <c r="JSP13" s="319"/>
      <c r="JSQ13" s="319"/>
      <c r="JSR13" s="319"/>
      <c r="JSS13" s="319"/>
      <c r="JST13" s="319"/>
      <c r="JSU13" s="319"/>
      <c r="JSV13" s="319"/>
      <c r="JSW13" s="319"/>
      <c r="JSX13" s="319"/>
      <c r="JSY13" s="319"/>
      <c r="JSZ13" s="319"/>
      <c r="JTA13" s="319"/>
      <c r="JTB13" s="319"/>
      <c r="JTC13" s="319"/>
      <c r="JTD13" s="319"/>
      <c r="JTE13" s="319"/>
      <c r="JTF13" s="319"/>
      <c r="JTG13" s="319"/>
      <c r="JTH13" s="319"/>
      <c r="JTI13" s="319"/>
      <c r="JTJ13" s="319"/>
      <c r="JTK13" s="319"/>
      <c r="JTL13" s="319"/>
      <c r="JTM13" s="319"/>
      <c r="JTN13" s="319"/>
      <c r="JTO13" s="319"/>
      <c r="JTP13" s="319"/>
      <c r="JTQ13" s="319"/>
      <c r="JTR13" s="319"/>
      <c r="JTS13" s="319"/>
      <c r="JTT13" s="319"/>
      <c r="JTU13" s="319"/>
      <c r="JTV13" s="319"/>
      <c r="JTW13" s="319"/>
      <c r="JTX13" s="319"/>
      <c r="JTY13" s="319"/>
      <c r="JTZ13" s="319"/>
      <c r="JUA13" s="319"/>
      <c r="JUB13" s="319"/>
      <c r="JUC13" s="319"/>
      <c r="JUD13" s="319"/>
      <c r="JUE13" s="319"/>
      <c r="JUF13" s="319"/>
      <c r="JUG13" s="319"/>
      <c r="JUH13" s="319"/>
      <c r="JUI13" s="319"/>
      <c r="JUJ13" s="319"/>
      <c r="JUK13" s="319"/>
      <c r="JUL13" s="319"/>
      <c r="JUM13" s="319"/>
      <c r="JUN13" s="319"/>
      <c r="JUO13" s="319"/>
      <c r="JUP13" s="319"/>
      <c r="JUQ13" s="319"/>
      <c r="JUR13" s="319"/>
      <c r="JUS13" s="319"/>
      <c r="JUT13" s="319"/>
      <c r="JUU13" s="319"/>
      <c r="JUV13" s="319"/>
      <c r="JUW13" s="319"/>
      <c r="JUX13" s="319"/>
      <c r="JUY13" s="319"/>
      <c r="JUZ13" s="319"/>
      <c r="JVA13" s="319"/>
      <c r="JVB13" s="319"/>
      <c r="JVC13" s="319"/>
      <c r="JVD13" s="319"/>
      <c r="JVE13" s="319"/>
      <c r="JVF13" s="319"/>
      <c r="JVG13" s="319"/>
      <c r="JVH13" s="319"/>
      <c r="JVI13" s="319"/>
      <c r="JVJ13" s="319"/>
      <c r="JVK13" s="319"/>
      <c r="JVL13" s="319"/>
      <c r="JVM13" s="319"/>
      <c r="JVN13" s="319"/>
      <c r="JVO13" s="319"/>
      <c r="JVP13" s="319"/>
      <c r="JVQ13" s="319"/>
      <c r="JVR13" s="319"/>
      <c r="JVS13" s="319"/>
      <c r="JVT13" s="319"/>
      <c r="JVU13" s="319"/>
      <c r="JVV13" s="319"/>
      <c r="JVW13" s="319"/>
      <c r="JVX13" s="319"/>
      <c r="JVY13" s="319"/>
      <c r="JVZ13" s="319"/>
      <c r="JWA13" s="319"/>
      <c r="JWB13" s="319"/>
      <c r="JWC13" s="319"/>
      <c r="JWD13" s="319"/>
      <c r="JWE13" s="319"/>
      <c r="JWF13" s="319"/>
      <c r="JWG13" s="319"/>
      <c r="JWH13" s="319"/>
      <c r="JWI13" s="319"/>
      <c r="JWJ13" s="319"/>
      <c r="JWK13" s="319"/>
      <c r="JWL13" s="319"/>
      <c r="JWM13" s="319"/>
      <c r="JWN13" s="319"/>
      <c r="JWO13" s="319"/>
      <c r="JWP13" s="319"/>
      <c r="JWQ13" s="319"/>
      <c r="JWR13" s="319"/>
      <c r="JWS13" s="319"/>
      <c r="JWT13" s="319"/>
      <c r="JWU13" s="319"/>
      <c r="JWV13" s="319"/>
      <c r="JWW13" s="319"/>
      <c r="JWX13" s="319"/>
      <c r="JWY13" s="319"/>
      <c r="JWZ13" s="319"/>
      <c r="JXA13" s="319"/>
      <c r="JXB13" s="319"/>
      <c r="JXC13" s="319"/>
      <c r="JXD13" s="319"/>
      <c r="JXE13" s="319"/>
      <c r="JXF13" s="319"/>
      <c r="JXG13" s="319"/>
      <c r="JXH13" s="319"/>
      <c r="JXI13" s="319"/>
      <c r="JXJ13" s="319"/>
      <c r="JXK13" s="319"/>
      <c r="JXL13" s="319"/>
      <c r="JXM13" s="319"/>
      <c r="JXN13" s="319"/>
      <c r="JXO13" s="319"/>
      <c r="JXP13" s="319"/>
      <c r="JXQ13" s="319"/>
      <c r="JXR13" s="319"/>
      <c r="JXS13" s="319"/>
      <c r="JXT13" s="319"/>
      <c r="JXU13" s="319"/>
      <c r="JXV13" s="319"/>
      <c r="JXW13" s="319"/>
      <c r="JXX13" s="319"/>
      <c r="JXY13" s="319"/>
      <c r="JXZ13" s="319"/>
      <c r="JYA13" s="319"/>
      <c r="JYB13" s="319"/>
      <c r="JYC13" s="319"/>
      <c r="JYD13" s="319"/>
      <c r="JYE13" s="319"/>
      <c r="JYF13" s="319"/>
      <c r="JYG13" s="319"/>
      <c r="JYH13" s="319"/>
      <c r="JYI13" s="319"/>
      <c r="JYJ13" s="319"/>
      <c r="JYK13" s="319"/>
      <c r="JYL13" s="319"/>
      <c r="JYM13" s="319"/>
      <c r="JYN13" s="319"/>
      <c r="JYO13" s="319"/>
      <c r="JYP13" s="319"/>
      <c r="JYQ13" s="319"/>
      <c r="JYR13" s="319"/>
      <c r="JYS13" s="319"/>
      <c r="JYT13" s="319"/>
      <c r="JYU13" s="319"/>
      <c r="JYV13" s="319"/>
      <c r="JYW13" s="319"/>
      <c r="JYX13" s="319"/>
      <c r="JYY13" s="319"/>
      <c r="JYZ13" s="319"/>
      <c r="JZA13" s="319"/>
      <c r="JZB13" s="319"/>
      <c r="JZC13" s="319"/>
      <c r="JZD13" s="319"/>
      <c r="JZE13" s="319"/>
      <c r="JZF13" s="319"/>
      <c r="JZG13" s="319"/>
      <c r="JZH13" s="319"/>
      <c r="JZI13" s="319"/>
      <c r="JZJ13" s="319"/>
      <c r="JZK13" s="319"/>
      <c r="JZL13" s="319"/>
      <c r="JZM13" s="319"/>
      <c r="JZN13" s="319"/>
      <c r="JZO13" s="319"/>
      <c r="JZP13" s="319"/>
      <c r="JZQ13" s="319"/>
      <c r="JZR13" s="319"/>
      <c r="JZS13" s="319"/>
      <c r="JZT13" s="319"/>
      <c r="JZU13" s="319"/>
      <c r="JZV13" s="319"/>
      <c r="JZW13" s="319"/>
      <c r="JZX13" s="319"/>
      <c r="JZY13" s="319"/>
      <c r="JZZ13" s="319"/>
      <c r="KAA13" s="319"/>
      <c r="KAB13" s="319"/>
      <c r="KAC13" s="319"/>
      <c r="KAD13" s="319"/>
      <c r="KAE13" s="319"/>
      <c r="KAF13" s="319"/>
      <c r="KAG13" s="319"/>
      <c r="KAH13" s="319"/>
      <c r="KAI13" s="319"/>
      <c r="KAJ13" s="319"/>
      <c r="KAK13" s="319"/>
      <c r="KAL13" s="319"/>
      <c r="KAM13" s="319"/>
      <c r="KAN13" s="319"/>
      <c r="KAO13" s="319"/>
      <c r="KAP13" s="319"/>
      <c r="KAQ13" s="319"/>
      <c r="KAR13" s="319"/>
      <c r="KAS13" s="319"/>
      <c r="KAT13" s="319"/>
      <c r="KAU13" s="319"/>
      <c r="KAV13" s="319"/>
      <c r="KAW13" s="319"/>
      <c r="KAX13" s="319"/>
      <c r="KAY13" s="319"/>
      <c r="KAZ13" s="319"/>
      <c r="KBA13" s="319"/>
      <c r="KBB13" s="319"/>
      <c r="KBC13" s="319"/>
      <c r="KBD13" s="319"/>
      <c r="KBE13" s="319"/>
      <c r="KBF13" s="319"/>
      <c r="KBG13" s="319"/>
      <c r="KBH13" s="319"/>
      <c r="KBI13" s="319"/>
      <c r="KBJ13" s="319"/>
      <c r="KBK13" s="319"/>
      <c r="KBL13" s="319"/>
      <c r="KBM13" s="319"/>
      <c r="KBN13" s="319"/>
      <c r="KBO13" s="319"/>
      <c r="KBP13" s="319"/>
      <c r="KBQ13" s="319"/>
      <c r="KBR13" s="319"/>
      <c r="KBS13" s="319"/>
      <c r="KBT13" s="319"/>
      <c r="KBU13" s="319"/>
      <c r="KBV13" s="319"/>
      <c r="KBW13" s="319"/>
      <c r="KBX13" s="319"/>
      <c r="KBY13" s="319"/>
      <c r="KBZ13" s="319"/>
      <c r="KCA13" s="319"/>
      <c r="KCB13" s="319"/>
      <c r="KCC13" s="319"/>
      <c r="KCD13" s="319"/>
      <c r="KCE13" s="319"/>
      <c r="KCF13" s="319"/>
      <c r="KCG13" s="319"/>
      <c r="KCH13" s="319"/>
      <c r="KCI13" s="319"/>
      <c r="KCJ13" s="319"/>
      <c r="KCK13" s="319"/>
      <c r="KCL13" s="319"/>
      <c r="KCM13" s="319"/>
      <c r="KCN13" s="319"/>
      <c r="KCO13" s="319"/>
      <c r="KCP13" s="319"/>
      <c r="KCQ13" s="319"/>
      <c r="KCR13" s="319"/>
      <c r="KCS13" s="319"/>
      <c r="KCT13" s="319"/>
      <c r="KCU13" s="319"/>
      <c r="KCV13" s="319"/>
      <c r="KCW13" s="319"/>
      <c r="KCX13" s="319"/>
      <c r="KCY13" s="319"/>
      <c r="KCZ13" s="319"/>
      <c r="KDA13" s="319"/>
      <c r="KDB13" s="319"/>
      <c r="KDC13" s="319"/>
      <c r="KDD13" s="319"/>
      <c r="KDE13" s="319"/>
      <c r="KDF13" s="319"/>
      <c r="KDG13" s="319"/>
      <c r="KDH13" s="319"/>
      <c r="KDI13" s="319"/>
      <c r="KDJ13" s="319"/>
      <c r="KDK13" s="319"/>
      <c r="KDL13" s="319"/>
      <c r="KDM13" s="319"/>
      <c r="KDN13" s="319"/>
      <c r="KDO13" s="319"/>
      <c r="KDP13" s="319"/>
      <c r="KDQ13" s="319"/>
      <c r="KDR13" s="319"/>
      <c r="KDS13" s="319"/>
      <c r="KDT13" s="319"/>
      <c r="KDU13" s="319"/>
      <c r="KDV13" s="319"/>
      <c r="KDW13" s="319"/>
      <c r="KDX13" s="319"/>
      <c r="KDY13" s="319"/>
      <c r="KDZ13" s="319"/>
      <c r="KEA13" s="319"/>
      <c r="KEB13" s="319"/>
      <c r="KEC13" s="319"/>
      <c r="KED13" s="319"/>
      <c r="KEE13" s="319"/>
      <c r="KEF13" s="319"/>
      <c r="KEG13" s="319"/>
      <c r="KEH13" s="319"/>
      <c r="KEI13" s="319"/>
      <c r="KEJ13" s="319"/>
      <c r="KEK13" s="319"/>
      <c r="KEL13" s="319"/>
      <c r="KEM13" s="319"/>
      <c r="KEN13" s="319"/>
      <c r="KEO13" s="319"/>
      <c r="KEP13" s="319"/>
      <c r="KEQ13" s="319"/>
      <c r="KER13" s="319"/>
      <c r="KES13" s="319"/>
      <c r="KET13" s="319"/>
      <c r="KEU13" s="319"/>
      <c r="KEV13" s="319"/>
      <c r="KEW13" s="319"/>
      <c r="KEX13" s="319"/>
      <c r="KEY13" s="319"/>
      <c r="KEZ13" s="319"/>
      <c r="KFA13" s="319"/>
      <c r="KFB13" s="319"/>
      <c r="KFC13" s="319"/>
      <c r="KFD13" s="319"/>
      <c r="KFE13" s="319"/>
      <c r="KFF13" s="319"/>
      <c r="KFG13" s="319"/>
      <c r="KFH13" s="319"/>
      <c r="KFI13" s="319"/>
      <c r="KFJ13" s="319"/>
      <c r="KFK13" s="319"/>
      <c r="KFL13" s="319"/>
      <c r="KFM13" s="319"/>
      <c r="KFN13" s="319"/>
      <c r="KFO13" s="319"/>
      <c r="KFP13" s="319"/>
      <c r="KFQ13" s="319"/>
      <c r="KFR13" s="319"/>
      <c r="KFS13" s="319"/>
      <c r="KFT13" s="319"/>
      <c r="KFU13" s="319"/>
      <c r="KFV13" s="319"/>
      <c r="KFW13" s="319"/>
      <c r="KFX13" s="319"/>
      <c r="KFY13" s="319"/>
      <c r="KFZ13" s="319"/>
      <c r="KGA13" s="319"/>
      <c r="KGB13" s="319"/>
      <c r="KGC13" s="319"/>
      <c r="KGD13" s="319"/>
      <c r="KGE13" s="319"/>
      <c r="KGF13" s="319"/>
      <c r="KGG13" s="319"/>
      <c r="KGH13" s="319"/>
      <c r="KGI13" s="319"/>
      <c r="KGJ13" s="319"/>
      <c r="KGK13" s="319"/>
      <c r="KGL13" s="319"/>
      <c r="KGM13" s="319"/>
      <c r="KGN13" s="319"/>
      <c r="KGO13" s="319"/>
      <c r="KGP13" s="319"/>
      <c r="KGQ13" s="319"/>
      <c r="KGR13" s="319"/>
      <c r="KGS13" s="319"/>
      <c r="KGT13" s="319"/>
      <c r="KGU13" s="319"/>
      <c r="KGV13" s="319"/>
      <c r="KGW13" s="319"/>
      <c r="KGX13" s="319"/>
      <c r="KGY13" s="319"/>
      <c r="KGZ13" s="319"/>
      <c r="KHA13" s="319"/>
      <c r="KHB13" s="319"/>
      <c r="KHC13" s="319"/>
      <c r="KHD13" s="319"/>
      <c r="KHE13" s="319"/>
      <c r="KHF13" s="319"/>
      <c r="KHG13" s="319"/>
      <c r="KHH13" s="319"/>
      <c r="KHI13" s="319"/>
      <c r="KHJ13" s="319"/>
      <c r="KHK13" s="319"/>
      <c r="KHL13" s="319"/>
      <c r="KHM13" s="319"/>
      <c r="KHN13" s="319"/>
      <c r="KHO13" s="319"/>
      <c r="KHP13" s="319"/>
      <c r="KHQ13" s="319"/>
      <c r="KHR13" s="319"/>
      <c r="KHS13" s="319"/>
      <c r="KHT13" s="319"/>
      <c r="KHU13" s="319"/>
      <c r="KHV13" s="319"/>
      <c r="KHW13" s="319"/>
      <c r="KHX13" s="319"/>
      <c r="KHY13" s="319"/>
      <c r="KHZ13" s="319"/>
      <c r="KIA13" s="319"/>
      <c r="KIB13" s="319"/>
      <c r="KIC13" s="319"/>
      <c r="KID13" s="319"/>
      <c r="KIE13" s="319"/>
      <c r="KIF13" s="319"/>
      <c r="KIG13" s="319"/>
      <c r="KIH13" s="319"/>
      <c r="KII13" s="319"/>
      <c r="KIJ13" s="319"/>
      <c r="KIK13" s="319"/>
      <c r="KIL13" s="319"/>
      <c r="KIM13" s="319"/>
      <c r="KIN13" s="319"/>
      <c r="KIO13" s="319"/>
      <c r="KIP13" s="319"/>
      <c r="KIQ13" s="319"/>
      <c r="KIR13" s="319"/>
      <c r="KIS13" s="319"/>
      <c r="KIT13" s="319"/>
      <c r="KIU13" s="319"/>
      <c r="KIV13" s="319"/>
      <c r="KIW13" s="319"/>
      <c r="KIX13" s="319"/>
      <c r="KIY13" s="319"/>
      <c r="KIZ13" s="319"/>
      <c r="KJA13" s="319"/>
      <c r="KJB13" s="319"/>
      <c r="KJC13" s="319"/>
      <c r="KJD13" s="319"/>
      <c r="KJE13" s="319"/>
      <c r="KJF13" s="319"/>
      <c r="KJG13" s="319"/>
      <c r="KJH13" s="319"/>
      <c r="KJI13" s="319"/>
      <c r="KJJ13" s="319"/>
      <c r="KJK13" s="319"/>
      <c r="KJL13" s="319"/>
      <c r="KJM13" s="319"/>
      <c r="KJN13" s="319"/>
      <c r="KJO13" s="319"/>
      <c r="KJP13" s="319"/>
      <c r="KJQ13" s="319"/>
      <c r="KJR13" s="319"/>
      <c r="KJS13" s="319"/>
      <c r="KJT13" s="319"/>
      <c r="KJU13" s="319"/>
      <c r="KJV13" s="319"/>
      <c r="KJW13" s="319"/>
      <c r="KJX13" s="319"/>
      <c r="KJY13" s="319"/>
      <c r="KJZ13" s="319"/>
      <c r="KKA13" s="319"/>
      <c r="KKB13" s="319"/>
      <c r="KKC13" s="319"/>
      <c r="KKD13" s="319"/>
      <c r="KKE13" s="319"/>
      <c r="KKF13" s="319"/>
      <c r="KKG13" s="319"/>
      <c r="KKH13" s="319"/>
      <c r="KKI13" s="319"/>
      <c r="KKJ13" s="319"/>
      <c r="KKK13" s="319"/>
      <c r="KKL13" s="319"/>
      <c r="KKM13" s="319"/>
      <c r="KKN13" s="319"/>
      <c r="KKO13" s="319"/>
      <c r="KKP13" s="319"/>
      <c r="KKQ13" s="319"/>
      <c r="KKR13" s="319"/>
      <c r="KKS13" s="319"/>
      <c r="KKT13" s="319"/>
      <c r="KKU13" s="319"/>
      <c r="KKV13" s="319"/>
      <c r="KKW13" s="319"/>
      <c r="KKX13" s="319"/>
      <c r="KKY13" s="319"/>
      <c r="KKZ13" s="319"/>
      <c r="KLA13" s="319"/>
      <c r="KLB13" s="319"/>
      <c r="KLC13" s="319"/>
      <c r="KLD13" s="319"/>
      <c r="KLE13" s="319"/>
      <c r="KLF13" s="319"/>
      <c r="KLG13" s="319"/>
      <c r="KLH13" s="319"/>
      <c r="KLI13" s="319"/>
      <c r="KLJ13" s="319"/>
      <c r="KLK13" s="319"/>
      <c r="KLL13" s="319"/>
      <c r="KLM13" s="319"/>
      <c r="KLN13" s="319"/>
      <c r="KLO13" s="319"/>
      <c r="KLP13" s="319"/>
      <c r="KLQ13" s="319"/>
      <c r="KLR13" s="319"/>
      <c r="KLS13" s="319"/>
      <c r="KLT13" s="319"/>
      <c r="KLU13" s="319"/>
      <c r="KLV13" s="319"/>
      <c r="KLW13" s="319"/>
      <c r="KLX13" s="319"/>
      <c r="KLY13" s="319"/>
      <c r="KLZ13" s="319"/>
      <c r="KMA13" s="319"/>
      <c r="KMB13" s="319"/>
      <c r="KMC13" s="319"/>
      <c r="KMD13" s="319"/>
      <c r="KME13" s="319"/>
      <c r="KMF13" s="319"/>
      <c r="KMG13" s="319"/>
      <c r="KMH13" s="319"/>
      <c r="KMI13" s="319"/>
      <c r="KMJ13" s="319"/>
      <c r="KMK13" s="319"/>
      <c r="KML13" s="319"/>
      <c r="KMM13" s="319"/>
      <c r="KMN13" s="319"/>
      <c r="KMO13" s="319"/>
      <c r="KMP13" s="319"/>
      <c r="KMQ13" s="319"/>
      <c r="KMR13" s="319"/>
      <c r="KMS13" s="319"/>
      <c r="KMT13" s="319"/>
      <c r="KMU13" s="319"/>
      <c r="KMV13" s="319"/>
      <c r="KMW13" s="319"/>
      <c r="KMX13" s="319"/>
      <c r="KMY13" s="319"/>
      <c r="KMZ13" s="319"/>
      <c r="KNA13" s="319"/>
      <c r="KNB13" s="319"/>
      <c r="KNC13" s="319"/>
      <c r="KND13" s="319"/>
      <c r="KNE13" s="319"/>
      <c r="KNF13" s="319"/>
      <c r="KNG13" s="319"/>
      <c r="KNH13" s="319"/>
      <c r="KNI13" s="319"/>
      <c r="KNJ13" s="319"/>
      <c r="KNK13" s="319"/>
      <c r="KNL13" s="319"/>
      <c r="KNM13" s="319"/>
      <c r="KNN13" s="319"/>
      <c r="KNO13" s="319"/>
      <c r="KNP13" s="319"/>
      <c r="KNQ13" s="319"/>
      <c r="KNR13" s="319"/>
      <c r="KNS13" s="319"/>
      <c r="KNT13" s="319"/>
      <c r="KNU13" s="319"/>
      <c r="KNV13" s="319"/>
      <c r="KNW13" s="319"/>
      <c r="KNX13" s="319"/>
      <c r="KNY13" s="319"/>
      <c r="KNZ13" s="319"/>
      <c r="KOA13" s="319"/>
      <c r="KOB13" s="319"/>
      <c r="KOC13" s="319"/>
      <c r="KOD13" s="319"/>
      <c r="KOE13" s="319"/>
      <c r="KOF13" s="319"/>
      <c r="KOG13" s="319"/>
      <c r="KOH13" s="319"/>
      <c r="KOI13" s="319"/>
      <c r="KOJ13" s="319"/>
      <c r="KOK13" s="319"/>
      <c r="KOL13" s="319"/>
      <c r="KOM13" s="319"/>
      <c r="KON13" s="319"/>
      <c r="KOO13" s="319"/>
      <c r="KOP13" s="319"/>
      <c r="KOQ13" s="319"/>
      <c r="KOR13" s="319"/>
      <c r="KOS13" s="319"/>
      <c r="KOT13" s="319"/>
      <c r="KOU13" s="319"/>
      <c r="KOV13" s="319"/>
      <c r="KOW13" s="319"/>
      <c r="KOX13" s="319"/>
      <c r="KOY13" s="319"/>
      <c r="KOZ13" s="319"/>
      <c r="KPA13" s="319"/>
      <c r="KPB13" s="319"/>
      <c r="KPC13" s="319"/>
      <c r="KPD13" s="319"/>
      <c r="KPE13" s="319"/>
      <c r="KPF13" s="319"/>
      <c r="KPG13" s="319"/>
      <c r="KPH13" s="319"/>
      <c r="KPI13" s="319"/>
      <c r="KPJ13" s="319"/>
      <c r="KPK13" s="319"/>
      <c r="KPL13" s="319"/>
      <c r="KPM13" s="319"/>
      <c r="KPN13" s="319"/>
      <c r="KPO13" s="319"/>
      <c r="KPP13" s="319"/>
      <c r="KPQ13" s="319"/>
      <c r="KPR13" s="319"/>
      <c r="KPS13" s="319"/>
      <c r="KPT13" s="319"/>
      <c r="KPU13" s="319"/>
      <c r="KPV13" s="319"/>
      <c r="KPW13" s="319"/>
      <c r="KPX13" s="319"/>
      <c r="KPY13" s="319"/>
      <c r="KPZ13" s="319"/>
      <c r="KQA13" s="319"/>
      <c r="KQB13" s="319"/>
      <c r="KQC13" s="319"/>
      <c r="KQD13" s="319"/>
      <c r="KQE13" s="319"/>
      <c r="KQF13" s="319"/>
      <c r="KQG13" s="319"/>
      <c r="KQH13" s="319"/>
      <c r="KQI13" s="319"/>
      <c r="KQJ13" s="319"/>
      <c r="KQK13" s="319"/>
      <c r="KQL13" s="319"/>
      <c r="KQM13" s="319"/>
      <c r="KQN13" s="319"/>
      <c r="KQO13" s="319"/>
      <c r="KQP13" s="319"/>
      <c r="KQQ13" s="319"/>
      <c r="KQR13" s="319"/>
      <c r="KQS13" s="319"/>
      <c r="KQT13" s="319"/>
      <c r="KQU13" s="319"/>
      <c r="KQV13" s="319"/>
      <c r="KQW13" s="319"/>
      <c r="KQX13" s="319"/>
      <c r="KQY13" s="319"/>
      <c r="KQZ13" s="319"/>
      <c r="KRA13" s="319"/>
      <c r="KRB13" s="319"/>
      <c r="KRC13" s="319"/>
      <c r="KRD13" s="319"/>
      <c r="KRE13" s="319"/>
      <c r="KRF13" s="319"/>
      <c r="KRG13" s="319"/>
      <c r="KRH13" s="319"/>
      <c r="KRI13" s="319"/>
      <c r="KRJ13" s="319"/>
      <c r="KRK13" s="319"/>
      <c r="KRL13" s="319"/>
      <c r="KRM13" s="319"/>
      <c r="KRN13" s="319"/>
      <c r="KRO13" s="319"/>
      <c r="KRP13" s="319"/>
      <c r="KRQ13" s="319"/>
      <c r="KRR13" s="319"/>
      <c r="KRS13" s="319"/>
      <c r="KRT13" s="319"/>
      <c r="KRU13" s="319"/>
      <c r="KRV13" s="319"/>
      <c r="KRW13" s="319"/>
      <c r="KRX13" s="319"/>
      <c r="KRY13" s="319"/>
      <c r="KRZ13" s="319"/>
      <c r="KSA13" s="319"/>
      <c r="KSB13" s="319"/>
      <c r="KSC13" s="319"/>
      <c r="KSD13" s="319"/>
      <c r="KSE13" s="319"/>
      <c r="KSF13" s="319"/>
      <c r="KSG13" s="319"/>
      <c r="KSH13" s="319"/>
      <c r="KSI13" s="319"/>
      <c r="KSJ13" s="319"/>
      <c r="KSK13" s="319"/>
      <c r="KSL13" s="319"/>
      <c r="KSM13" s="319"/>
      <c r="KSN13" s="319"/>
      <c r="KSO13" s="319"/>
      <c r="KSP13" s="319"/>
      <c r="KSQ13" s="319"/>
      <c r="KSR13" s="319"/>
      <c r="KSS13" s="319"/>
      <c r="KST13" s="319"/>
      <c r="KSU13" s="319"/>
      <c r="KSV13" s="319"/>
      <c r="KSW13" s="319"/>
      <c r="KSX13" s="319"/>
      <c r="KSY13" s="319"/>
      <c r="KSZ13" s="319"/>
      <c r="KTA13" s="319"/>
      <c r="KTB13" s="319"/>
      <c r="KTC13" s="319"/>
      <c r="KTD13" s="319"/>
      <c r="KTE13" s="319"/>
      <c r="KTF13" s="319"/>
      <c r="KTG13" s="319"/>
      <c r="KTH13" s="319"/>
      <c r="KTI13" s="319"/>
      <c r="KTJ13" s="319"/>
      <c r="KTK13" s="319"/>
      <c r="KTL13" s="319"/>
      <c r="KTM13" s="319"/>
      <c r="KTN13" s="319"/>
      <c r="KTO13" s="319"/>
      <c r="KTP13" s="319"/>
      <c r="KTQ13" s="319"/>
      <c r="KTR13" s="319"/>
      <c r="KTS13" s="319"/>
      <c r="KTT13" s="319"/>
      <c r="KTU13" s="319"/>
      <c r="KTV13" s="319"/>
      <c r="KTW13" s="319"/>
      <c r="KTX13" s="319"/>
      <c r="KTY13" s="319"/>
      <c r="KTZ13" s="319"/>
      <c r="KUA13" s="319"/>
      <c r="KUB13" s="319"/>
      <c r="KUC13" s="319"/>
      <c r="KUD13" s="319"/>
      <c r="KUE13" s="319"/>
      <c r="KUF13" s="319"/>
      <c r="KUG13" s="319"/>
      <c r="KUH13" s="319"/>
      <c r="KUI13" s="319"/>
      <c r="KUJ13" s="319"/>
      <c r="KUK13" s="319"/>
      <c r="KUL13" s="319"/>
      <c r="KUM13" s="319"/>
      <c r="KUN13" s="319"/>
      <c r="KUO13" s="319"/>
      <c r="KUP13" s="319"/>
      <c r="KUQ13" s="319"/>
      <c r="KUR13" s="319"/>
      <c r="KUS13" s="319"/>
      <c r="KUT13" s="319"/>
      <c r="KUU13" s="319"/>
      <c r="KUV13" s="319"/>
      <c r="KUW13" s="319"/>
      <c r="KUX13" s="319"/>
      <c r="KUY13" s="319"/>
      <c r="KUZ13" s="319"/>
      <c r="KVA13" s="319"/>
      <c r="KVB13" s="319"/>
      <c r="KVC13" s="319"/>
      <c r="KVD13" s="319"/>
      <c r="KVE13" s="319"/>
      <c r="KVF13" s="319"/>
      <c r="KVG13" s="319"/>
      <c r="KVH13" s="319"/>
      <c r="KVI13" s="319"/>
      <c r="KVJ13" s="319"/>
      <c r="KVK13" s="319"/>
      <c r="KVL13" s="319"/>
      <c r="KVM13" s="319"/>
      <c r="KVN13" s="319"/>
      <c r="KVO13" s="319"/>
      <c r="KVP13" s="319"/>
      <c r="KVQ13" s="319"/>
      <c r="KVR13" s="319"/>
      <c r="KVS13" s="319"/>
      <c r="KVT13" s="319"/>
      <c r="KVU13" s="319"/>
      <c r="KVV13" s="319"/>
      <c r="KVW13" s="319"/>
      <c r="KVX13" s="319"/>
      <c r="KVY13" s="319"/>
      <c r="KVZ13" s="319"/>
      <c r="KWA13" s="319"/>
      <c r="KWB13" s="319"/>
      <c r="KWC13" s="319"/>
      <c r="KWD13" s="319"/>
      <c r="KWE13" s="319"/>
      <c r="KWF13" s="319"/>
      <c r="KWG13" s="319"/>
      <c r="KWH13" s="319"/>
      <c r="KWI13" s="319"/>
      <c r="KWJ13" s="319"/>
      <c r="KWK13" s="319"/>
      <c r="KWL13" s="319"/>
      <c r="KWM13" s="319"/>
      <c r="KWN13" s="319"/>
      <c r="KWO13" s="319"/>
      <c r="KWP13" s="319"/>
      <c r="KWQ13" s="319"/>
      <c r="KWR13" s="319"/>
      <c r="KWS13" s="319"/>
      <c r="KWT13" s="319"/>
      <c r="KWU13" s="319"/>
      <c r="KWV13" s="319"/>
      <c r="KWW13" s="319"/>
      <c r="KWX13" s="319"/>
      <c r="KWY13" s="319"/>
      <c r="KWZ13" s="319"/>
      <c r="KXA13" s="319"/>
      <c r="KXB13" s="319"/>
      <c r="KXC13" s="319"/>
      <c r="KXD13" s="319"/>
      <c r="KXE13" s="319"/>
      <c r="KXF13" s="319"/>
      <c r="KXG13" s="319"/>
      <c r="KXH13" s="319"/>
      <c r="KXI13" s="319"/>
      <c r="KXJ13" s="319"/>
      <c r="KXK13" s="319"/>
      <c r="KXL13" s="319"/>
      <c r="KXM13" s="319"/>
      <c r="KXN13" s="319"/>
      <c r="KXO13" s="319"/>
      <c r="KXP13" s="319"/>
      <c r="KXQ13" s="319"/>
      <c r="KXR13" s="319"/>
      <c r="KXS13" s="319"/>
      <c r="KXT13" s="319"/>
      <c r="KXU13" s="319"/>
      <c r="KXV13" s="319"/>
      <c r="KXW13" s="319"/>
      <c r="KXX13" s="319"/>
      <c r="KXY13" s="319"/>
      <c r="KXZ13" s="319"/>
      <c r="KYA13" s="319"/>
      <c r="KYB13" s="319"/>
      <c r="KYC13" s="319"/>
      <c r="KYD13" s="319"/>
      <c r="KYE13" s="319"/>
      <c r="KYF13" s="319"/>
      <c r="KYG13" s="319"/>
      <c r="KYH13" s="319"/>
      <c r="KYI13" s="319"/>
      <c r="KYJ13" s="319"/>
      <c r="KYK13" s="319"/>
      <c r="KYL13" s="319"/>
      <c r="KYM13" s="319"/>
      <c r="KYN13" s="319"/>
      <c r="KYO13" s="319"/>
      <c r="KYP13" s="319"/>
      <c r="KYQ13" s="319"/>
      <c r="KYR13" s="319"/>
      <c r="KYS13" s="319"/>
      <c r="KYT13" s="319"/>
      <c r="KYU13" s="319"/>
      <c r="KYV13" s="319"/>
      <c r="KYW13" s="319"/>
      <c r="KYX13" s="319"/>
      <c r="KYY13" s="319"/>
      <c r="KYZ13" s="319"/>
      <c r="KZA13" s="319"/>
      <c r="KZB13" s="319"/>
      <c r="KZC13" s="319"/>
      <c r="KZD13" s="319"/>
      <c r="KZE13" s="319"/>
      <c r="KZF13" s="319"/>
      <c r="KZG13" s="319"/>
      <c r="KZH13" s="319"/>
      <c r="KZI13" s="319"/>
      <c r="KZJ13" s="319"/>
      <c r="KZK13" s="319"/>
      <c r="KZL13" s="319"/>
      <c r="KZM13" s="319"/>
      <c r="KZN13" s="319"/>
      <c r="KZO13" s="319"/>
      <c r="KZP13" s="319"/>
      <c r="KZQ13" s="319"/>
      <c r="KZR13" s="319"/>
      <c r="KZS13" s="319"/>
      <c r="KZT13" s="319"/>
      <c r="KZU13" s="319"/>
      <c r="KZV13" s="319"/>
      <c r="KZW13" s="319"/>
      <c r="KZX13" s="319"/>
      <c r="KZY13" s="319"/>
      <c r="KZZ13" s="319"/>
      <c r="LAA13" s="319"/>
      <c r="LAB13" s="319"/>
      <c r="LAC13" s="319"/>
      <c r="LAD13" s="319"/>
      <c r="LAE13" s="319"/>
      <c r="LAF13" s="319"/>
      <c r="LAG13" s="319"/>
      <c r="LAH13" s="319"/>
      <c r="LAI13" s="319"/>
      <c r="LAJ13" s="319"/>
      <c r="LAK13" s="319"/>
      <c r="LAL13" s="319"/>
      <c r="LAM13" s="319"/>
      <c r="LAN13" s="319"/>
      <c r="LAO13" s="319"/>
      <c r="LAP13" s="319"/>
      <c r="LAQ13" s="319"/>
      <c r="LAR13" s="319"/>
      <c r="LAS13" s="319"/>
      <c r="LAT13" s="319"/>
      <c r="LAU13" s="319"/>
      <c r="LAV13" s="319"/>
      <c r="LAW13" s="319"/>
      <c r="LAX13" s="319"/>
      <c r="LAY13" s="319"/>
      <c r="LAZ13" s="319"/>
      <c r="LBA13" s="319"/>
      <c r="LBB13" s="319"/>
      <c r="LBC13" s="319"/>
      <c r="LBD13" s="319"/>
      <c r="LBE13" s="319"/>
      <c r="LBF13" s="319"/>
      <c r="LBG13" s="319"/>
      <c r="LBH13" s="319"/>
      <c r="LBI13" s="319"/>
      <c r="LBJ13" s="319"/>
      <c r="LBK13" s="319"/>
      <c r="LBL13" s="319"/>
      <c r="LBM13" s="319"/>
      <c r="LBN13" s="319"/>
      <c r="LBO13" s="319"/>
      <c r="LBP13" s="319"/>
      <c r="LBQ13" s="319"/>
      <c r="LBR13" s="319"/>
      <c r="LBS13" s="319"/>
      <c r="LBT13" s="319"/>
      <c r="LBU13" s="319"/>
      <c r="LBV13" s="319"/>
      <c r="LBW13" s="319"/>
      <c r="LBX13" s="319"/>
      <c r="LBY13" s="319"/>
      <c r="LBZ13" s="319"/>
      <c r="LCA13" s="319"/>
      <c r="LCB13" s="319"/>
      <c r="LCC13" s="319"/>
      <c r="LCD13" s="319"/>
      <c r="LCE13" s="319"/>
      <c r="LCF13" s="319"/>
      <c r="LCG13" s="319"/>
      <c r="LCH13" s="319"/>
      <c r="LCI13" s="319"/>
      <c r="LCJ13" s="319"/>
      <c r="LCK13" s="319"/>
      <c r="LCL13" s="319"/>
      <c r="LCM13" s="319"/>
      <c r="LCN13" s="319"/>
      <c r="LCO13" s="319"/>
      <c r="LCP13" s="319"/>
      <c r="LCQ13" s="319"/>
      <c r="LCR13" s="319"/>
      <c r="LCS13" s="319"/>
      <c r="LCT13" s="319"/>
      <c r="LCU13" s="319"/>
      <c r="LCV13" s="319"/>
      <c r="LCW13" s="319"/>
      <c r="LCX13" s="319"/>
      <c r="LCY13" s="319"/>
      <c r="LCZ13" s="319"/>
      <c r="LDA13" s="319"/>
      <c r="LDB13" s="319"/>
      <c r="LDC13" s="319"/>
      <c r="LDD13" s="319"/>
      <c r="LDE13" s="319"/>
      <c r="LDF13" s="319"/>
      <c r="LDG13" s="319"/>
      <c r="LDH13" s="319"/>
      <c r="LDI13" s="319"/>
      <c r="LDJ13" s="319"/>
      <c r="LDK13" s="319"/>
      <c r="LDL13" s="319"/>
      <c r="LDM13" s="319"/>
      <c r="LDN13" s="319"/>
      <c r="LDO13" s="319"/>
      <c r="LDP13" s="319"/>
      <c r="LDQ13" s="319"/>
      <c r="LDR13" s="319"/>
      <c r="LDS13" s="319"/>
      <c r="LDT13" s="319"/>
      <c r="LDU13" s="319"/>
      <c r="LDV13" s="319"/>
      <c r="LDW13" s="319"/>
      <c r="LDX13" s="319"/>
      <c r="LDY13" s="319"/>
      <c r="LDZ13" s="319"/>
      <c r="LEA13" s="319"/>
      <c r="LEB13" s="319"/>
      <c r="LEC13" s="319"/>
      <c r="LED13" s="319"/>
      <c r="LEE13" s="319"/>
      <c r="LEF13" s="319"/>
      <c r="LEG13" s="319"/>
      <c r="LEH13" s="319"/>
      <c r="LEI13" s="319"/>
      <c r="LEJ13" s="319"/>
      <c r="LEK13" s="319"/>
      <c r="LEL13" s="319"/>
      <c r="LEM13" s="319"/>
      <c r="LEN13" s="319"/>
      <c r="LEO13" s="319"/>
      <c r="LEP13" s="319"/>
      <c r="LEQ13" s="319"/>
      <c r="LER13" s="319"/>
      <c r="LES13" s="319"/>
      <c r="LET13" s="319"/>
      <c r="LEU13" s="319"/>
      <c r="LEV13" s="319"/>
      <c r="LEW13" s="319"/>
      <c r="LEX13" s="319"/>
      <c r="LEY13" s="319"/>
      <c r="LEZ13" s="319"/>
      <c r="LFA13" s="319"/>
      <c r="LFB13" s="319"/>
      <c r="LFC13" s="319"/>
      <c r="LFD13" s="319"/>
      <c r="LFE13" s="319"/>
      <c r="LFF13" s="319"/>
      <c r="LFG13" s="319"/>
      <c r="LFH13" s="319"/>
      <c r="LFI13" s="319"/>
      <c r="LFJ13" s="319"/>
      <c r="LFK13" s="319"/>
      <c r="LFL13" s="319"/>
      <c r="LFM13" s="319"/>
      <c r="LFN13" s="319"/>
      <c r="LFO13" s="319"/>
      <c r="LFP13" s="319"/>
      <c r="LFQ13" s="319"/>
      <c r="LFR13" s="319"/>
      <c r="LFS13" s="319"/>
      <c r="LFT13" s="319"/>
      <c r="LFU13" s="319"/>
      <c r="LFV13" s="319"/>
      <c r="LFW13" s="319"/>
      <c r="LFX13" s="319"/>
      <c r="LFY13" s="319"/>
      <c r="LFZ13" s="319"/>
      <c r="LGA13" s="319"/>
      <c r="LGB13" s="319"/>
      <c r="LGC13" s="319"/>
      <c r="LGD13" s="319"/>
      <c r="LGE13" s="319"/>
      <c r="LGF13" s="319"/>
      <c r="LGG13" s="319"/>
      <c r="LGH13" s="319"/>
      <c r="LGI13" s="319"/>
      <c r="LGJ13" s="319"/>
      <c r="LGK13" s="319"/>
      <c r="LGL13" s="319"/>
      <c r="LGM13" s="319"/>
      <c r="LGN13" s="319"/>
      <c r="LGO13" s="319"/>
      <c r="LGP13" s="319"/>
      <c r="LGQ13" s="319"/>
      <c r="LGR13" s="319"/>
      <c r="LGS13" s="319"/>
      <c r="LGT13" s="319"/>
      <c r="LGU13" s="319"/>
      <c r="LGV13" s="319"/>
      <c r="LGW13" s="319"/>
      <c r="LGX13" s="319"/>
      <c r="LGY13" s="319"/>
      <c r="LGZ13" s="319"/>
      <c r="LHA13" s="319"/>
      <c r="LHB13" s="319"/>
      <c r="LHC13" s="319"/>
      <c r="LHD13" s="319"/>
      <c r="LHE13" s="319"/>
      <c r="LHF13" s="319"/>
      <c r="LHG13" s="319"/>
      <c r="LHH13" s="319"/>
      <c r="LHI13" s="319"/>
      <c r="LHJ13" s="319"/>
      <c r="LHK13" s="319"/>
      <c r="LHL13" s="319"/>
      <c r="LHM13" s="319"/>
      <c r="LHN13" s="319"/>
      <c r="LHO13" s="319"/>
      <c r="LHP13" s="319"/>
      <c r="LHQ13" s="319"/>
      <c r="LHR13" s="319"/>
      <c r="LHS13" s="319"/>
      <c r="LHT13" s="319"/>
      <c r="LHU13" s="319"/>
      <c r="LHV13" s="319"/>
      <c r="LHW13" s="319"/>
      <c r="LHX13" s="319"/>
      <c r="LHY13" s="319"/>
      <c r="LHZ13" s="319"/>
      <c r="LIA13" s="319"/>
      <c r="LIB13" s="319"/>
      <c r="LIC13" s="319"/>
      <c r="LID13" s="319"/>
      <c r="LIE13" s="319"/>
      <c r="LIF13" s="319"/>
      <c r="LIG13" s="319"/>
      <c r="LIH13" s="319"/>
      <c r="LII13" s="319"/>
      <c r="LIJ13" s="319"/>
      <c r="LIK13" s="319"/>
      <c r="LIL13" s="319"/>
      <c r="LIM13" s="319"/>
      <c r="LIN13" s="319"/>
      <c r="LIO13" s="319"/>
      <c r="LIP13" s="319"/>
      <c r="LIQ13" s="319"/>
      <c r="LIR13" s="319"/>
      <c r="LIS13" s="319"/>
      <c r="LIT13" s="319"/>
      <c r="LIU13" s="319"/>
      <c r="LIV13" s="319"/>
      <c r="LIW13" s="319"/>
      <c r="LIX13" s="319"/>
      <c r="LIY13" s="319"/>
      <c r="LIZ13" s="319"/>
      <c r="LJA13" s="319"/>
      <c r="LJB13" s="319"/>
      <c r="LJC13" s="319"/>
      <c r="LJD13" s="319"/>
      <c r="LJE13" s="319"/>
      <c r="LJF13" s="319"/>
      <c r="LJG13" s="319"/>
      <c r="LJH13" s="319"/>
      <c r="LJI13" s="319"/>
      <c r="LJJ13" s="319"/>
      <c r="LJK13" s="319"/>
      <c r="LJL13" s="319"/>
      <c r="LJM13" s="319"/>
      <c r="LJN13" s="319"/>
      <c r="LJO13" s="319"/>
      <c r="LJP13" s="319"/>
      <c r="LJQ13" s="319"/>
      <c r="LJR13" s="319"/>
      <c r="LJS13" s="319"/>
      <c r="LJT13" s="319"/>
      <c r="LJU13" s="319"/>
      <c r="LJV13" s="319"/>
      <c r="LJW13" s="319"/>
      <c r="LJX13" s="319"/>
      <c r="LJY13" s="319"/>
      <c r="LJZ13" s="319"/>
      <c r="LKA13" s="319"/>
      <c r="LKB13" s="319"/>
      <c r="LKC13" s="319"/>
      <c r="LKD13" s="319"/>
      <c r="LKE13" s="319"/>
      <c r="LKF13" s="319"/>
      <c r="LKG13" s="319"/>
      <c r="LKH13" s="319"/>
      <c r="LKI13" s="319"/>
      <c r="LKJ13" s="319"/>
      <c r="LKK13" s="319"/>
      <c r="LKL13" s="319"/>
      <c r="LKM13" s="319"/>
      <c r="LKN13" s="319"/>
      <c r="LKO13" s="319"/>
      <c r="LKP13" s="319"/>
      <c r="LKQ13" s="319"/>
      <c r="LKR13" s="319"/>
      <c r="LKS13" s="319"/>
      <c r="LKT13" s="319"/>
      <c r="LKU13" s="319"/>
      <c r="LKV13" s="319"/>
      <c r="LKW13" s="319"/>
      <c r="LKX13" s="319"/>
      <c r="LKY13" s="319"/>
      <c r="LKZ13" s="319"/>
      <c r="LLA13" s="319"/>
      <c r="LLB13" s="319"/>
      <c r="LLC13" s="319"/>
      <c r="LLD13" s="319"/>
      <c r="LLE13" s="319"/>
      <c r="LLF13" s="319"/>
      <c r="LLG13" s="319"/>
      <c r="LLH13" s="319"/>
      <c r="LLI13" s="319"/>
      <c r="LLJ13" s="319"/>
      <c r="LLK13" s="319"/>
      <c r="LLL13" s="319"/>
      <c r="LLM13" s="319"/>
      <c r="LLN13" s="319"/>
      <c r="LLO13" s="319"/>
      <c r="LLP13" s="319"/>
      <c r="LLQ13" s="319"/>
      <c r="LLR13" s="319"/>
      <c r="LLS13" s="319"/>
      <c r="LLT13" s="319"/>
      <c r="LLU13" s="319"/>
      <c r="LLV13" s="319"/>
      <c r="LLW13" s="319"/>
      <c r="LLX13" s="319"/>
      <c r="LLY13" s="319"/>
      <c r="LLZ13" s="319"/>
      <c r="LMA13" s="319"/>
      <c r="LMB13" s="319"/>
      <c r="LMC13" s="319"/>
      <c r="LMD13" s="319"/>
      <c r="LME13" s="319"/>
      <c r="LMF13" s="319"/>
      <c r="LMG13" s="319"/>
      <c r="LMH13" s="319"/>
      <c r="LMI13" s="319"/>
      <c r="LMJ13" s="319"/>
      <c r="LMK13" s="319"/>
      <c r="LML13" s="319"/>
      <c r="LMM13" s="319"/>
      <c r="LMN13" s="319"/>
      <c r="LMO13" s="319"/>
      <c r="LMP13" s="319"/>
      <c r="LMQ13" s="319"/>
      <c r="LMR13" s="319"/>
      <c r="LMS13" s="319"/>
      <c r="LMT13" s="319"/>
      <c r="LMU13" s="319"/>
      <c r="LMV13" s="319"/>
      <c r="LMW13" s="319"/>
      <c r="LMX13" s="319"/>
      <c r="LMY13" s="319"/>
      <c r="LMZ13" s="319"/>
      <c r="LNA13" s="319"/>
      <c r="LNB13" s="319"/>
      <c r="LNC13" s="319"/>
      <c r="LND13" s="319"/>
      <c r="LNE13" s="319"/>
      <c r="LNF13" s="319"/>
      <c r="LNG13" s="319"/>
      <c r="LNH13" s="319"/>
      <c r="LNI13" s="319"/>
      <c r="LNJ13" s="319"/>
      <c r="LNK13" s="319"/>
      <c r="LNL13" s="319"/>
      <c r="LNM13" s="319"/>
      <c r="LNN13" s="319"/>
      <c r="LNO13" s="319"/>
      <c r="LNP13" s="319"/>
      <c r="LNQ13" s="319"/>
      <c r="LNR13" s="319"/>
      <c r="LNS13" s="319"/>
      <c r="LNT13" s="319"/>
      <c r="LNU13" s="319"/>
      <c r="LNV13" s="319"/>
      <c r="LNW13" s="319"/>
      <c r="LNX13" s="319"/>
      <c r="LNY13" s="319"/>
      <c r="LNZ13" s="319"/>
      <c r="LOA13" s="319"/>
      <c r="LOB13" s="319"/>
      <c r="LOC13" s="319"/>
      <c r="LOD13" s="319"/>
      <c r="LOE13" s="319"/>
      <c r="LOF13" s="319"/>
      <c r="LOG13" s="319"/>
      <c r="LOH13" s="319"/>
      <c r="LOI13" s="319"/>
      <c r="LOJ13" s="319"/>
      <c r="LOK13" s="319"/>
      <c r="LOL13" s="319"/>
      <c r="LOM13" s="319"/>
      <c r="LON13" s="319"/>
      <c r="LOO13" s="319"/>
      <c r="LOP13" s="319"/>
      <c r="LOQ13" s="319"/>
      <c r="LOR13" s="319"/>
      <c r="LOS13" s="319"/>
      <c r="LOT13" s="319"/>
      <c r="LOU13" s="319"/>
      <c r="LOV13" s="319"/>
      <c r="LOW13" s="319"/>
      <c r="LOX13" s="319"/>
      <c r="LOY13" s="319"/>
      <c r="LOZ13" s="319"/>
      <c r="LPA13" s="319"/>
      <c r="LPB13" s="319"/>
      <c r="LPC13" s="319"/>
      <c r="LPD13" s="319"/>
      <c r="LPE13" s="319"/>
      <c r="LPF13" s="319"/>
      <c r="LPG13" s="319"/>
      <c r="LPH13" s="319"/>
      <c r="LPI13" s="319"/>
      <c r="LPJ13" s="319"/>
      <c r="LPK13" s="319"/>
      <c r="LPL13" s="319"/>
      <c r="LPM13" s="319"/>
      <c r="LPN13" s="319"/>
      <c r="LPO13" s="319"/>
      <c r="LPP13" s="319"/>
      <c r="LPQ13" s="319"/>
      <c r="LPR13" s="319"/>
      <c r="LPS13" s="319"/>
      <c r="LPT13" s="319"/>
      <c r="LPU13" s="319"/>
      <c r="LPV13" s="319"/>
      <c r="LPW13" s="319"/>
      <c r="LPX13" s="319"/>
      <c r="LPY13" s="319"/>
      <c r="LPZ13" s="319"/>
      <c r="LQA13" s="319"/>
      <c r="LQB13" s="319"/>
      <c r="LQC13" s="319"/>
      <c r="LQD13" s="319"/>
      <c r="LQE13" s="319"/>
      <c r="LQF13" s="319"/>
      <c r="LQG13" s="319"/>
      <c r="LQH13" s="319"/>
      <c r="LQI13" s="319"/>
      <c r="LQJ13" s="319"/>
      <c r="LQK13" s="319"/>
      <c r="LQL13" s="319"/>
      <c r="LQM13" s="319"/>
      <c r="LQN13" s="319"/>
      <c r="LQO13" s="319"/>
      <c r="LQP13" s="319"/>
      <c r="LQQ13" s="319"/>
      <c r="LQR13" s="319"/>
      <c r="LQS13" s="319"/>
      <c r="LQT13" s="319"/>
      <c r="LQU13" s="319"/>
      <c r="LQV13" s="319"/>
      <c r="LQW13" s="319"/>
      <c r="LQX13" s="319"/>
      <c r="LQY13" s="319"/>
      <c r="LQZ13" s="319"/>
      <c r="LRA13" s="319"/>
      <c r="LRB13" s="319"/>
      <c r="LRC13" s="319"/>
      <c r="LRD13" s="319"/>
      <c r="LRE13" s="319"/>
      <c r="LRF13" s="319"/>
      <c r="LRG13" s="319"/>
      <c r="LRH13" s="319"/>
      <c r="LRI13" s="319"/>
      <c r="LRJ13" s="319"/>
      <c r="LRK13" s="319"/>
      <c r="LRL13" s="319"/>
      <c r="LRM13" s="319"/>
      <c r="LRN13" s="319"/>
      <c r="LRO13" s="319"/>
      <c r="LRP13" s="319"/>
      <c r="LRQ13" s="319"/>
      <c r="LRR13" s="319"/>
      <c r="LRS13" s="319"/>
      <c r="LRT13" s="319"/>
      <c r="LRU13" s="319"/>
      <c r="LRV13" s="319"/>
      <c r="LRW13" s="319"/>
      <c r="LRX13" s="319"/>
      <c r="LRY13" s="319"/>
      <c r="LRZ13" s="319"/>
      <c r="LSA13" s="319"/>
      <c r="LSB13" s="319"/>
      <c r="LSC13" s="319"/>
      <c r="LSD13" s="319"/>
      <c r="LSE13" s="319"/>
      <c r="LSF13" s="319"/>
      <c r="LSG13" s="319"/>
      <c r="LSH13" s="319"/>
      <c r="LSI13" s="319"/>
      <c r="LSJ13" s="319"/>
      <c r="LSK13" s="319"/>
      <c r="LSL13" s="319"/>
      <c r="LSM13" s="319"/>
      <c r="LSN13" s="319"/>
      <c r="LSO13" s="319"/>
      <c r="LSP13" s="319"/>
      <c r="LSQ13" s="319"/>
      <c r="LSR13" s="319"/>
      <c r="LSS13" s="319"/>
      <c r="LST13" s="319"/>
      <c r="LSU13" s="319"/>
      <c r="LSV13" s="319"/>
      <c r="LSW13" s="319"/>
      <c r="LSX13" s="319"/>
      <c r="LSY13" s="319"/>
      <c r="LSZ13" s="319"/>
      <c r="LTA13" s="319"/>
      <c r="LTB13" s="319"/>
      <c r="LTC13" s="319"/>
      <c r="LTD13" s="319"/>
      <c r="LTE13" s="319"/>
      <c r="LTF13" s="319"/>
      <c r="LTG13" s="319"/>
      <c r="LTH13" s="319"/>
      <c r="LTI13" s="319"/>
      <c r="LTJ13" s="319"/>
      <c r="LTK13" s="319"/>
      <c r="LTL13" s="319"/>
      <c r="LTM13" s="319"/>
      <c r="LTN13" s="319"/>
      <c r="LTO13" s="319"/>
      <c r="LTP13" s="319"/>
      <c r="LTQ13" s="319"/>
      <c r="LTR13" s="319"/>
      <c r="LTS13" s="319"/>
      <c r="LTT13" s="319"/>
      <c r="LTU13" s="319"/>
      <c r="LTV13" s="319"/>
      <c r="LTW13" s="319"/>
      <c r="LTX13" s="319"/>
      <c r="LTY13" s="319"/>
      <c r="LTZ13" s="319"/>
      <c r="LUA13" s="319"/>
      <c r="LUB13" s="319"/>
      <c r="LUC13" s="319"/>
      <c r="LUD13" s="319"/>
      <c r="LUE13" s="319"/>
      <c r="LUF13" s="319"/>
      <c r="LUG13" s="319"/>
      <c r="LUH13" s="319"/>
      <c r="LUI13" s="319"/>
      <c r="LUJ13" s="319"/>
      <c r="LUK13" s="319"/>
      <c r="LUL13" s="319"/>
      <c r="LUM13" s="319"/>
      <c r="LUN13" s="319"/>
      <c r="LUO13" s="319"/>
      <c r="LUP13" s="319"/>
      <c r="LUQ13" s="319"/>
      <c r="LUR13" s="319"/>
      <c r="LUS13" s="319"/>
      <c r="LUT13" s="319"/>
      <c r="LUU13" s="319"/>
      <c r="LUV13" s="319"/>
      <c r="LUW13" s="319"/>
      <c r="LUX13" s="319"/>
      <c r="LUY13" s="319"/>
      <c r="LUZ13" s="319"/>
      <c r="LVA13" s="319"/>
      <c r="LVB13" s="319"/>
      <c r="LVC13" s="319"/>
      <c r="LVD13" s="319"/>
      <c r="LVE13" s="319"/>
      <c r="LVF13" s="319"/>
      <c r="LVG13" s="319"/>
      <c r="LVH13" s="319"/>
      <c r="LVI13" s="319"/>
      <c r="LVJ13" s="319"/>
      <c r="LVK13" s="319"/>
      <c r="LVL13" s="319"/>
      <c r="LVM13" s="319"/>
      <c r="LVN13" s="319"/>
      <c r="LVO13" s="319"/>
      <c r="LVP13" s="319"/>
      <c r="LVQ13" s="319"/>
      <c r="LVR13" s="319"/>
      <c r="LVS13" s="319"/>
      <c r="LVT13" s="319"/>
      <c r="LVU13" s="319"/>
      <c r="LVV13" s="319"/>
      <c r="LVW13" s="319"/>
      <c r="LVX13" s="319"/>
      <c r="LVY13" s="319"/>
      <c r="LVZ13" s="319"/>
      <c r="LWA13" s="319"/>
      <c r="LWB13" s="319"/>
      <c r="LWC13" s="319"/>
      <c r="LWD13" s="319"/>
      <c r="LWE13" s="319"/>
      <c r="LWF13" s="319"/>
      <c r="LWG13" s="319"/>
      <c r="LWH13" s="319"/>
      <c r="LWI13" s="319"/>
      <c r="LWJ13" s="319"/>
      <c r="LWK13" s="319"/>
      <c r="LWL13" s="319"/>
      <c r="LWM13" s="319"/>
      <c r="LWN13" s="319"/>
      <c r="LWO13" s="319"/>
      <c r="LWP13" s="319"/>
      <c r="LWQ13" s="319"/>
      <c r="LWR13" s="319"/>
      <c r="LWS13" s="319"/>
      <c r="LWT13" s="319"/>
      <c r="LWU13" s="319"/>
      <c r="LWV13" s="319"/>
      <c r="LWW13" s="319"/>
      <c r="LWX13" s="319"/>
      <c r="LWY13" s="319"/>
      <c r="LWZ13" s="319"/>
      <c r="LXA13" s="319"/>
      <c r="LXB13" s="319"/>
      <c r="LXC13" s="319"/>
      <c r="LXD13" s="319"/>
      <c r="LXE13" s="319"/>
      <c r="LXF13" s="319"/>
      <c r="LXG13" s="319"/>
      <c r="LXH13" s="319"/>
      <c r="LXI13" s="319"/>
      <c r="LXJ13" s="319"/>
      <c r="LXK13" s="319"/>
      <c r="LXL13" s="319"/>
      <c r="LXM13" s="319"/>
      <c r="LXN13" s="319"/>
      <c r="LXO13" s="319"/>
      <c r="LXP13" s="319"/>
      <c r="LXQ13" s="319"/>
      <c r="LXR13" s="319"/>
      <c r="LXS13" s="319"/>
      <c r="LXT13" s="319"/>
      <c r="LXU13" s="319"/>
      <c r="LXV13" s="319"/>
      <c r="LXW13" s="319"/>
      <c r="LXX13" s="319"/>
      <c r="LXY13" s="319"/>
      <c r="LXZ13" s="319"/>
      <c r="LYA13" s="319"/>
      <c r="LYB13" s="319"/>
      <c r="LYC13" s="319"/>
      <c r="LYD13" s="319"/>
      <c r="LYE13" s="319"/>
      <c r="LYF13" s="319"/>
      <c r="LYG13" s="319"/>
      <c r="LYH13" s="319"/>
      <c r="LYI13" s="319"/>
      <c r="LYJ13" s="319"/>
      <c r="LYK13" s="319"/>
      <c r="LYL13" s="319"/>
      <c r="LYM13" s="319"/>
      <c r="LYN13" s="319"/>
      <c r="LYO13" s="319"/>
      <c r="LYP13" s="319"/>
      <c r="LYQ13" s="319"/>
      <c r="LYR13" s="319"/>
      <c r="LYS13" s="319"/>
      <c r="LYT13" s="319"/>
      <c r="LYU13" s="319"/>
      <c r="LYV13" s="319"/>
      <c r="LYW13" s="319"/>
      <c r="LYX13" s="319"/>
      <c r="LYY13" s="319"/>
      <c r="LYZ13" s="319"/>
      <c r="LZA13" s="319"/>
      <c r="LZB13" s="319"/>
      <c r="LZC13" s="319"/>
      <c r="LZD13" s="319"/>
      <c r="LZE13" s="319"/>
      <c r="LZF13" s="319"/>
      <c r="LZG13" s="319"/>
      <c r="LZH13" s="319"/>
      <c r="LZI13" s="319"/>
      <c r="LZJ13" s="319"/>
      <c r="LZK13" s="319"/>
      <c r="LZL13" s="319"/>
      <c r="LZM13" s="319"/>
      <c r="LZN13" s="319"/>
      <c r="LZO13" s="319"/>
      <c r="LZP13" s="319"/>
      <c r="LZQ13" s="319"/>
      <c r="LZR13" s="319"/>
      <c r="LZS13" s="319"/>
      <c r="LZT13" s="319"/>
      <c r="LZU13" s="319"/>
      <c r="LZV13" s="319"/>
      <c r="LZW13" s="319"/>
      <c r="LZX13" s="319"/>
      <c r="LZY13" s="319"/>
      <c r="LZZ13" s="319"/>
      <c r="MAA13" s="319"/>
      <c r="MAB13" s="319"/>
      <c r="MAC13" s="319"/>
      <c r="MAD13" s="319"/>
      <c r="MAE13" s="319"/>
      <c r="MAF13" s="319"/>
      <c r="MAG13" s="319"/>
      <c r="MAH13" s="319"/>
      <c r="MAI13" s="319"/>
      <c r="MAJ13" s="319"/>
      <c r="MAK13" s="319"/>
      <c r="MAL13" s="319"/>
      <c r="MAM13" s="319"/>
      <c r="MAN13" s="319"/>
      <c r="MAO13" s="319"/>
      <c r="MAP13" s="319"/>
      <c r="MAQ13" s="319"/>
      <c r="MAR13" s="319"/>
      <c r="MAS13" s="319"/>
      <c r="MAT13" s="319"/>
      <c r="MAU13" s="319"/>
      <c r="MAV13" s="319"/>
      <c r="MAW13" s="319"/>
      <c r="MAX13" s="319"/>
      <c r="MAY13" s="319"/>
      <c r="MAZ13" s="319"/>
      <c r="MBA13" s="319"/>
      <c r="MBB13" s="319"/>
      <c r="MBC13" s="319"/>
      <c r="MBD13" s="319"/>
      <c r="MBE13" s="319"/>
      <c r="MBF13" s="319"/>
      <c r="MBG13" s="319"/>
      <c r="MBH13" s="319"/>
      <c r="MBI13" s="319"/>
      <c r="MBJ13" s="319"/>
      <c r="MBK13" s="319"/>
      <c r="MBL13" s="319"/>
      <c r="MBM13" s="319"/>
      <c r="MBN13" s="319"/>
      <c r="MBO13" s="319"/>
      <c r="MBP13" s="319"/>
      <c r="MBQ13" s="319"/>
      <c r="MBR13" s="319"/>
      <c r="MBS13" s="319"/>
      <c r="MBT13" s="319"/>
      <c r="MBU13" s="319"/>
      <c r="MBV13" s="319"/>
      <c r="MBW13" s="319"/>
      <c r="MBX13" s="319"/>
      <c r="MBY13" s="319"/>
      <c r="MBZ13" s="319"/>
      <c r="MCA13" s="319"/>
      <c r="MCB13" s="319"/>
      <c r="MCC13" s="319"/>
      <c r="MCD13" s="319"/>
      <c r="MCE13" s="319"/>
      <c r="MCF13" s="319"/>
      <c r="MCG13" s="319"/>
      <c r="MCH13" s="319"/>
      <c r="MCI13" s="319"/>
      <c r="MCJ13" s="319"/>
      <c r="MCK13" s="319"/>
      <c r="MCL13" s="319"/>
      <c r="MCM13" s="319"/>
      <c r="MCN13" s="319"/>
      <c r="MCO13" s="319"/>
      <c r="MCP13" s="319"/>
      <c r="MCQ13" s="319"/>
      <c r="MCR13" s="319"/>
      <c r="MCS13" s="319"/>
      <c r="MCT13" s="319"/>
      <c r="MCU13" s="319"/>
      <c r="MCV13" s="319"/>
      <c r="MCW13" s="319"/>
      <c r="MCX13" s="319"/>
      <c r="MCY13" s="319"/>
      <c r="MCZ13" s="319"/>
      <c r="MDA13" s="319"/>
      <c r="MDB13" s="319"/>
      <c r="MDC13" s="319"/>
      <c r="MDD13" s="319"/>
      <c r="MDE13" s="319"/>
      <c r="MDF13" s="319"/>
      <c r="MDG13" s="319"/>
      <c r="MDH13" s="319"/>
      <c r="MDI13" s="319"/>
      <c r="MDJ13" s="319"/>
      <c r="MDK13" s="319"/>
      <c r="MDL13" s="319"/>
      <c r="MDM13" s="319"/>
      <c r="MDN13" s="319"/>
      <c r="MDO13" s="319"/>
      <c r="MDP13" s="319"/>
      <c r="MDQ13" s="319"/>
      <c r="MDR13" s="319"/>
      <c r="MDS13" s="319"/>
      <c r="MDT13" s="319"/>
      <c r="MDU13" s="319"/>
      <c r="MDV13" s="319"/>
      <c r="MDW13" s="319"/>
      <c r="MDX13" s="319"/>
      <c r="MDY13" s="319"/>
      <c r="MDZ13" s="319"/>
      <c r="MEA13" s="319"/>
      <c r="MEB13" s="319"/>
      <c r="MEC13" s="319"/>
      <c r="MED13" s="319"/>
      <c r="MEE13" s="319"/>
      <c r="MEF13" s="319"/>
      <c r="MEG13" s="319"/>
      <c r="MEH13" s="319"/>
      <c r="MEI13" s="319"/>
      <c r="MEJ13" s="319"/>
      <c r="MEK13" s="319"/>
      <c r="MEL13" s="319"/>
      <c r="MEM13" s="319"/>
      <c r="MEN13" s="319"/>
      <c r="MEO13" s="319"/>
      <c r="MEP13" s="319"/>
      <c r="MEQ13" s="319"/>
      <c r="MER13" s="319"/>
      <c r="MES13" s="319"/>
      <c r="MET13" s="319"/>
      <c r="MEU13" s="319"/>
      <c r="MEV13" s="319"/>
      <c r="MEW13" s="319"/>
      <c r="MEX13" s="319"/>
      <c r="MEY13" s="319"/>
      <c r="MEZ13" s="319"/>
      <c r="MFA13" s="319"/>
      <c r="MFB13" s="319"/>
      <c r="MFC13" s="319"/>
      <c r="MFD13" s="319"/>
      <c r="MFE13" s="319"/>
      <c r="MFF13" s="319"/>
      <c r="MFG13" s="319"/>
      <c r="MFH13" s="319"/>
      <c r="MFI13" s="319"/>
      <c r="MFJ13" s="319"/>
      <c r="MFK13" s="319"/>
      <c r="MFL13" s="319"/>
      <c r="MFM13" s="319"/>
      <c r="MFN13" s="319"/>
      <c r="MFO13" s="319"/>
      <c r="MFP13" s="319"/>
      <c r="MFQ13" s="319"/>
      <c r="MFR13" s="319"/>
      <c r="MFS13" s="319"/>
      <c r="MFT13" s="319"/>
      <c r="MFU13" s="319"/>
      <c r="MFV13" s="319"/>
      <c r="MFW13" s="319"/>
      <c r="MFX13" s="319"/>
      <c r="MFY13" s="319"/>
      <c r="MFZ13" s="319"/>
      <c r="MGA13" s="319"/>
      <c r="MGB13" s="319"/>
      <c r="MGC13" s="319"/>
      <c r="MGD13" s="319"/>
      <c r="MGE13" s="319"/>
      <c r="MGF13" s="319"/>
      <c r="MGG13" s="319"/>
      <c r="MGH13" s="319"/>
      <c r="MGI13" s="319"/>
      <c r="MGJ13" s="319"/>
      <c r="MGK13" s="319"/>
      <c r="MGL13" s="319"/>
      <c r="MGM13" s="319"/>
      <c r="MGN13" s="319"/>
      <c r="MGO13" s="319"/>
      <c r="MGP13" s="319"/>
      <c r="MGQ13" s="319"/>
      <c r="MGR13" s="319"/>
      <c r="MGS13" s="319"/>
      <c r="MGT13" s="319"/>
      <c r="MGU13" s="319"/>
      <c r="MGV13" s="319"/>
      <c r="MGW13" s="319"/>
      <c r="MGX13" s="319"/>
      <c r="MGY13" s="319"/>
      <c r="MGZ13" s="319"/>
      <c r="MHA13" s="319"/>
      <c r="MHB13" s="319"/>
      <c r="MHC13" s="319"/>
      <c r="MHD13" s="319"/>
      <c r="MHE13" s="319"/>
      <c r="MHF13" s="319"/>
      <c r="MHG13" s="319"/>
      <c r="MHH13" s="319"/>
      <c r="MHI13" s="319"/>
      <c r="MHJ13" s="319"/>
      <c r="MHK13" s="319"/>
      <c r="MHL13" s="319"/>
      <c r="MHM13" s="319"/>
      <c r="MHN13" s="319"/>
      <c r="MHO13" s="319"/>
      <c r="MHP13" s="319"/>
      <c r="MHQ13" s="319"/>
      <c r="MHR13" s="319"/>
      <c r="MHS13" s="319"/>
      <c r="MHT13" s="319"/>
      <c r="MHU13" s="319"/>
      <c r="MHV13" s="319"/>
      <c r="MHW13" s="319"/>
      <c r="MHX13" s="319"/>
      <c r="MHY13" s="319"/>
      <c r="MHZ13" s="319"/>
      <c r="MIA13" s="319"/>
      <c r="MIB13" s="319"/>
      <c r="MIC13" s="319"/>
      <c r="MID13" s="319"/>
      <c r="MIE13" s="319"/>
      <c r="MIF13" s="319"/>
      <c r="MIG13" s="319"/>
      <c r="MIH13" s="319"/>
      <c r="MII13" s="319"/>
      <c r="MIJ13" s="319"/>
      <c r="MIK13" s="319"/>
      <c r="MIL13" s="319"/>
      <c r="MIM13" s="319"/>
      <c r="MIN13" s="319"/>
      <c r="MIO13" s="319"/>
      <c r="MIP13" s="319"/>
      <c r="MIQ13" s="319"/>
      <c r="MIR13" s="319"/>
      <c r="MIS13" s="319"/>
      <c r="MIT13" s="319"/>
      <c r="MIU13" s="319"/>
      <c r="MIV13" s="319"/>
      <c r="MIW13" s="319"/>
      <c r="MIX13" s="319"/>
      <c r="MIY13" s="319"/>
      <c r="MIZ13" s="319"/>
      <c r="MJA13" s="319"/>
      <c r="MJB13" s="319"/>
      <c r="MJC13" s="319"/>
      <c r="MJD13" s="319"/>
      <c r="MJE13" s="319"/>
      <c r="MJF13" s="319"/>
      <c r="MJG13" s="319"/>
      <c r="MJH13" s="319"/>
      <c r="MJI13" s="319"/>
      <c r="MJJ13" s="319"/>
      <c r="MJK13" s="319"/>
      <c r="MJL13" s="319"/>
      <c r="MJM13" s="319"/>
      <c r="MJN13" s="319"/>
      <c r="MJO13" s="319"/>
      <c r="MJP13" s="319"/>
      <c r="MJQ13" s="319"/>
      <c r="MJR13" s="319"/>
      <c r="MJS13" s="319"/>
      <c r="MJT13" s="319"/>
      <c r="MJU13" s="319"/>
      <c r="MJV13" s="319"/>
      <c r="MJW13" s="319"/>
      <c r="MJX13" s="319"/>
      <c r="MJY13" s="319"/>
      <c r="MJZ13" s="319"/>
      <c r="MKA13" s="319"/>
      <c r="MKB13" s="319"/>
      <c r="MKC13" s="319"/>
      <c r="MKD13" s="319"/>
      <c r="MKE13" s="319"/>
      <c r="MKF13" s="319"/>
      <c r="MKG13" s="319"/>
      <c r="MKH13" s="319"/>
      <c r="MKI13" s="319"/>
      <c r="MKJ13" s="319"/>
      <c r="MKK13" s="319"/>
      <c r="MKL13" s="319"/>
      <c r="MKM13" s="319"/>
      <c r="MKN13" s="319"/>
      <c r="MKO13" s="319"/>
      <c r="MKP13" s="319"/>
      <c r="MKQ13" s="319"/>
      <c r="MKR13" s="319"/>
      <c r="MKS13" s="319"/>
      <c r="MKT13" s="319"/>
      <c r="MKU13" s="319"/>
      <c r="MKV13" s="319"/>
      <c r="MKW13" s="319"/>
      <c r="MKX13" s="319"/>
      <c r="MKY13" s="319"/>
      <c r="MKZ13" s="319"/>
      <c r="MLA13" s="319"/>
      <c r="MLB13" s="319"/>
      <c r="MLC13" s="319"/>
      <c r="MLD13" s="319"/>
      <c r="MLE13" s="319"/>
      <c r="MLF13" s="319"/>
      <c r="MLG13" s="319"/>
      <c r="MLH13" s="319"/>
      <c r="MLI13" s="319"/>
      <c r="MLJ13" s="319"/>
      <c r="MLK13" s="319"/>
      <c r="MLL13" s="319"/>
      <c r="MLM13" s="319"/>
      <c r="MLN13" s="319"/>
      <c r="MLO13" s="319"/>
      <c r="MLP13" s="319"/>
      <c r="MLQ13" s="319"/>
      <c r="MLR13" s="319"/>
      <c r="MLS13" s="319"/>
      <c r="MLT13" s="319"/>
      <c r="MLU13" s="319"/>
      <c r="MLV13" s="319"/>
      <c r="MLW13" s="319"/>
      <c r="MLX13" s="319"/>
      <c r="MLY13" s="319"/>
      <c r="MLZ13" s="319"/>
      <c r="MMA13" s="319"/>
      <c r="MMB13" s="319"/>
      <c r="MMC13" s="319"/>
      <c r="MMD13" s="319"/>
      <c r="MME13" s="319"/>
      <c r="MMF13" s="319"/>
      <c r="MMG13" s="319"/>
      <c r="MMH13" s="319"/>
      <c r="MMI13" s="319"/>
      <c r="MMJ13" s="319"/>
      <c r="MMK13" s="319"/>
      <c r="MML13" s="319"/>
      <c r="MMM13" s="319"/>
      <c r="MMN13" s="319"/>
      <c r="MMO13" s="319"/>
      <c r="MMP13" s="319"/>
      <c r="MMQ13" s="319"/>
      <c r="MMR13" s="319"/>
      <c r="MMS13" s="319"/>
      <c r="MMT13" s="319"/>
      <c r="MMU13" s="319"/>
      <c r="MMV13" s="319"/>
      <c r="MMW13" s="319"/>
      <c r="MMX13" s="319"/>
      <c r="MMY13" s="319"/>
      <c r="MMZ13" s="319"/>
      <c r="MNA13" s="319"/>
      <c r="MNB13" s="319"/>
      <c r="MNC13" s="319"/>
      <c r="MND13" s="319"/>
      <c r="MNE13" s="319"/>
      <c r="MNF13" s="319"/>
      <c r="MNG13" s="319"/>
      <c r="MNH13" s="319"/>
      <c r="MNI13" s="319"/>
      <c r="MNJ13" s="319"/>
      <c r="MNK13" s="319"/>
      <c r="MNL13" s="319"/>
      <c r="MNM13" s="319"/>
      <c r="MNN13" s="319"/>
      <c r="MNO13" s="319"/>
      <c r="MNP13" s="319"/>
      <c r="MNQ13" s="319"/>
      <c r="MNR13" s="319"/>
      <c r="MNS13" s="319"/>
      <c r="MNT13" s="319"/>
      <c r="MNU13" s="319"/>
      <c r="MNV13" s="319"/>
      <c r="MNW13" s="319"/>
      <c r="MNX13" s="319"/>
      <c r="MNY13" s="319"/>
      <c r="MNZ13" s="319"/>
      <c r="MOA13" s="319"/>
      <c r="MOB13" s="319"/>
      <c r="MOC13" s="319"/>
      <c r="MOD13" s="319"/>
      <c r="MOE13" s="319"/>
      <c r="MOF13" s="319"/>
      <c r="MOG13" s="319"/>
      <c r="MOH13" s="319"/>
      <c r="MOI13" s="319"/>
      <c r="MOJ13" s="319"/>
      <c r="MOK13" s="319"/>
      <c r="MOL13" s="319"/>
      <c r="MOM13" s="319"/>
      <c r="MON13" s="319"/>
      <c r="MOO13" s="319"/>
      <c r="MOP13" s="319"/>
      <c r="MOQ13" s="319"/>
      <c r="MOR13" s="319"/>
      <c r="MOS13" s="319"/>
      <c r="MOT13" s="319"/>
      <c r="MOU13" s="319"/>
      <c r="MOV13" s="319"/>
      <c r="MOW13" s="319"/>
      <c r="MOX13" s="319"/>
      <c r="MOY13" s="319"/>
      <c r="MOZ13" s="319"/>
      <c r="MPA13" s="319"/>
      <c r="MPB13" s="319"/>
      <c r="MPC13" s="319"/>
      <c r="MPD13" s="319"/>
      <c r="MPE13" s="319"/>
      <c r="MPF13" s="319"/>
      <c r="MPG13" s="319"/>
      <c r="MPH13" s="319"/>
      <c r="MPI13" s="319"/>
      <c r="MPJ13" s="319"/>
      <c r="MPK13" s="319"/>
      <c r="MPL13" s="319"/>
      <c r="MPM13" s="319"/>
      <c r="MPN13" s="319"/>
      <c r="MPO13" s="319"/>
      <c r="MPP13" s="319"/>
      <c r="MPQ13" s="319"/>
      <c r="MPR13" s="319"/>
      <c r="MPS13" s="319"/>
      <c r="MPT13" s="319"/>
      <c r="MPU13" s="319"/>
      <c r="MPV13" s="319"/>
      <c r="MPW13" s="319"/>
      <c r="MPX13" s="319"/>
      <c r="MPY13" s="319"/>
      <c r="MPZ13" s="319"/>
      <c r="MQA13" s="319"/>
      <c r="MQB13" s="319"/>
      <c r="MQC13" s="319"/>
      <c r="MQD13" s="319"/>
      <c r="MQE13" s="319"/>
      <c r="MQF13" s="319"/>
      <c r="MQG13" s="319"/>
      <c r="MQH13" s="319"/>
      <c r="MQI13" s="319"/>
      <c r="MQJ13" s="319"/>
      <c r="MQK13" s="319"/>
      <c r="MQL13" s="319"/>
      <c r="MQM13" s="319"/>
      <c r="MQN13" s="319"/>
      <c r="MQO13" s="319"/>
      <c r="MQP13" s="319"/>
      <c r="MQQ13" s="319"/>
      <c r="MQR13" s="319"/>
      <c r="MQS13" s="319"/>
      <c r="MQT13" s="319"/>
      <c r="MQU13" s="319"/>
      <c r="MQV13" s="319"/>
      <c r="MQW13" s="319"/>
      <c r="MQX13" s="319"/>
      <c r="MQY13" s="319"/>
      <c r="MQZ13" s="319"/>
      <c r="MRA13" s="319"/>
      <c r="MRB13" s="319"/>
      <c r="MRC13" s="319"/>
      <c r="MRD13" s="319"/>
      <c r="MRE13" s="319"/>
      <c r="MRF13" s="319"/>
      <c r="MRG13" s="319"/>
      <c r="MRH13" s="319"/>
      <c r="MRI13" s="319"/>
      <c r="MRJ13" s="319"/>
      <c r="MRK13" s="319"/>
      <c r="MRL13" s="319"/>
      <c r="MRM13" s="319"/>
      <c r="MRN13" s="319"/>
      <c r="MRO13" s="319"/>
      <c r="MRP13" s="319"/>
      <c r="MRQ13" s="319"/>
      <c r="MRR13" s="319"/>
      <c r="MRS13" s="319"/>
      <c r="MRT13" s="319"/>
      <c r="MRU13" s="319"/>
      <c r="MRV13" s="319"/>
      <c r="MRW13" s="319"/>
      <c r="MRX13" s="319"/>
      <c r="MRY13" s="319"/>
      <c r="MRZ13" s="319"/>
      <c r="MSA13" s="319"/>
      <c r="MSB13" s="319"/>
      <c r="MSC13" s="319"/>
      <c r="MSD13" s="319"/>
      <c r="MSE13" s="319"/>
      <c r="MSF13" s="319"/>
      <c r="MSG13" s="319"/>
      <c r="MSH13" s="319"/>
      <c r="MSI13" s="319"/>
      <c r="MSJ13" s="319"/>
      <c r="MSK13" s="319"/>
      <c r="MSL13" s="319"/>
      <c r="MSM13" s="319"/>
      <c r="MSN13" s="319"/>
      <c r="MSO13" s="319"/>
      <c r="MSP13" s="319"/>
      <c r="MSQ13" s="319"/>
      <c r="MSR13" s="319"/>
      <c r="MSS13" s="319"/>
      <c r="MST13" s="319"/>
      <c r="MSU13" s="319"/>
      <c r="MSV13" s="319"/>
      <c r="MSW13" s="319"/>
      <c r="MSX13" s="319"/>
      <c r="MSY13" s="319"/>
      <c r="MSZ13" s="319"/>
      <c r="MTA13" s="319"/>
      <c r="MTB13" s="319"/>
      <c r="MTC13" s="319"/>
      <c r="MTD13" s="319"/>
      <c r="MTE13" s="319"/>
      <c r="MTF13" s="319"/>
      <c r="MTG13" s="319"/>
      <c r="MTH13" s="319"/>
      <c r="MTI13" s="319"/>
      <c r="MTJ13" s="319"/>
      <c r="MTK13" s="319"/>
      <c r="MTL13" s="319"/>
      <c r="MTM13" s="319"/>
      <c r="MTN13" s="319"/>
      <c r="MTO13" s="319"/>
      <c r="MTP13" s="319"/>
      <c r="MTQ13" s="319"/>
      <c r="MTR13" s="319"/>
      <c r="MTS13" s="319"/>
      <c r="MTT13" s="319"/>
      <c r="MTU13" s="319"/>
      <c r="MTV13" s="319"/>
      <c r="MTW13" s="319"/>
      <c r="MTX13" s="319"/>
      <c r="MTY13" s="319"/>
      <c r="MTZ13" s="319"/>
      <c r="MUA13" s="319"/>
      <c r="MUB13" s="319"/>
      <c r="MUC13" s="319"/>
      <c r="MUD13" s="319"/>
      <c r="MUE13" s="319"/>
      <c r="MUF13" s="319"/>
      <c r="MUG13" s="319"/>
      <c r="MUH13" s="319"/>
      <c r="MUI13" s="319"/>
      <c r="MUJ13" s="319"/>
      <c r="MUK13" s="319"/>
      <c r="MUL13" s="319"/>
      <c r="MUM13" s="319"/>
      <c r="MUN13" s="319"/>
      <c r="MUO13" s="319"/>
      <c r="MUP13" s="319"/>
      <c r="MUQ13" s="319"/>
      <c r="MUR13" s="319"/>
      <c r="MUS13" s="319"/>
      <c r="MUT13" s="319"/>
      <c r="MUU13" s="319"/>
      <c r="MUV13" s="319"/>
      <c r="MUW13" s="319"/>
      <c r="MUX13" s="319"/>
      <c r="MUY13" s="319"/>
      <c r="MUZ13" s="319"/>
      <c r="MVA13" s="319"/>
      <c r="MVB13" s="319"/>
      <c r="MVC13" s="319"/>
      <c r="MVD13" s="319"/>
      <c r="MVE13" s="319"/>
      <c r="MVF13" s="319"/>
      <c r="MVG13" s="319"/>
      <c r="MVH13" s="319"/>
      <c r="MVI13" s="319"/>
      <c r="MVJ13" s="319"/>
      <c r="MVK13" s="319"/>
      <c r="MVL13" s="319"/>
      <c r="MVM13" s="319"/>
      <c r="MVN13" s="319"/>
      <c r="MVO13" s="319"/>
      <c r="MVP13" s="319"/>
      <c r="MVQ13" s="319"/>
      <c r="MVR13" s="319"/>
      <c r="MVS13" s="319"/>
      <c r="MVT13" s="319"/>
      <c r="MVU13" s="319"/>
      <c r="MVV13" s="319"/>
      <c r="MVW13" s="319"/>
      <c r="MVX13" s="319"/>
      <c r="MVY13" s="319"/>
      <c r="MVZ13" s="319"/>
      <c r="MWA13" s="319"/>
      <c r="MWB13" s="319"/>
      <c r="MWC13" s="319"/>
      <c r="MWD13" s="319"/>
      <c r="MWE13" s="319"/>
      <c r="MWF13" s="319"/>
      <c r="MWG13" s="319"/>
      <c r="MWH13" s="319"/>
      <c r="MWI13" s="319"/>
      <c r="MWJ13" s="319"/>
      <c r="MWK13" s="319"/>
      <c r="MWL13" s="319"/>
      <c r="MWM13" s="319"/>
      <c r="MWN13" s="319"/>
      <c r="MWO13" s="319"/>
      <c r="MWP13" s="319"/>
      <c r="MWQ13" s="319"/>
      <c r="MWR13" s="319"/>
      <c r="MWS13" s="319"/>
      <c r="MWT13" s="319"/>
      <c r="MWU13" s="319"/>
      <c r="MWV13" s="319"/>
      <c r="MWW13" s="319"/>
      <c r="MWX13" s="319"/>
      <c r="MWY13" s="319"/>
      <c r="MWZ13" s="319"/>
      <c r="MXA13" s="319"/>
      <c r="MXB13" s="319"/>
      <c r="MXC13" s="319"/>
      <c r="MXD13" s="319"/>
      <c r="MXE13" s="319"/>
      <c r="MXF13" s="319"/>
      <c r="MXG13" s="319"/>
      <c r="MXH13" s="319"/>
      <c r="MXI13" s="319"/>
      <c r="MXJ13" s="319"/>
      <c r="MXK13" s="319"/>
      <c r="MXL13" s="319"/>
      <c r="MXM13" s="319"/>
      <c r="MXN13" s="319"/>
      <c r="MXO13" s="319"/>
      <c r="MXP13" s="319"/>
      <c r="MXQ13" s="319"/>
      <c r="MXR13" s="319"/>
      <c r="MXS13" s="319"/>
      <c r="MXT13" s="319"/>
      <c r="MXU13" s="319"/>
      <c r="MXV13" s="319"/>
      <c r="MXW13" s="319"/>
      <c r="MXX13" s="319"/>
      <c r="MXY13" s="319"/>
      <c r="MXZ13" s="319"/>
      <c r="MYA13" s="319"/>
      <c r="MYB13" s="319"/>
      <c r="MYC13" s="319"/>
      <c r="MYD13" s="319"/>
      <c r="MYE13" s="319"/>
      <c r="MYF13" s="319"/>
      <c r="MYG13" s="319"/>
      <c r="MYH13" s="319"/>
      <c r="MYI13" s="319"/>
      <c r="MYJ13" s="319"/>
      <c r="MYK13" s="319"/>
      <c r="MYL13" s="319"/>
      <c r="MYM13" s="319"/>
      <c r="MYN13" s="319"/>
      <c r="MYO13" s="319"/>
      <c r="MYP13" s="319"/>
      <c r="MYQ13" s="319"/>
      <c r="MYR13" s="319"/>
      <c r="MYS13" s="319"/>
      <c r="MYT13" s="319"/>
      <c r="MYU13" s="319"/>
      <c r="MYV13" s="319"/>
      <c r="MYW13" s="319"/>
      <c r="MYX13" s="319"/>
      <c r="MYY13" s="319"/>
      <c r="MYZ13" s="319"/>
      <c r="MZA13" s="319"/>
      <c r="MZB13" s="319"/>
      <c r="MZC13" s="319"/>
      <c r="MZD13" s="319"/>
      <c r="MZE13" s="319"/>
      <c r="MZF13" s="319"/>
      <c r="MZG13" s="319"/>
      <c r="MZH13" s="319"/>
      <c r="MZI13" s="319"/>
      <c r="MZJ13" s="319"/>
      <c r="MZK13" s="319"/>
      <c r="MZL13" s="319"/>
      <c r="MZM13" s="319"/>
      <c r="MZN13" s="319"/>
      <c r="MZO13" s="319"/>
      <c r="MZP13" s="319"/>
      <c r="MZQ13" s="319"/>
      <c r="MZR13" s="319"/>
      <c r="MZS13" s="319"/>
      <c r="MZT13" s="319"/>
      <c r="MZU13" s="319"/>
      <c r="MZV13" s="319"/>
      <c r="MZW13" s="319"/>
      <c r="MZX13" s="319"/>
      <c r="MZY13" s="319"/>
      <c r="MZZ13" s="319"/>
      <c r="NAA13" s="319"/>
      <c r="NAB13" s="319"/>
      <c r="NAC13" s="319"/>
      <c r="NAD13" s="319"/>
      <c r="NAE13" s="319"/>
      <c r="NAF13" s="319"/>
      <c r="NAG13" s="319"/>
      <c r="NAH13" s="319"/>
      <c r="NAI13" s="319"/>
      <c r="NAJ13" s="319"/>
      <c r="NAK13" s="319"/>
      <c r="NAL13" s="319"/>
      <c r="NAM13" s="319"/>
      <c r="NAN13" s="319"/>
      <c r="NAO13" s="319"/>
      <c r="NAP13" s="319"/>
      <c r="NAQ13" s="319"/>
      <c r="NAR13" s="319"/>
      <c r="NAS13" s="319"/>
      <c r="NAT13" s="319"/>
      <c r="NAU13" s="319"/>
      <c r="NAV13" s="319"/>
      <c r="NAW13" s="319"/>
      <c r="NAX13" s="319"/>
      <c r="NAY13" s="319"/>
      <c r="NAZ13" s="319"/>
      <c r="NBA13" s="319"/>
      <c r="NBB13" s="319"/>
      <c r="NBC13" s="319"/>
      <c r="NBD13" s="319"/>
      <c r="NBE13" s="319"/>
      <c r="NBF13" s="319"/>
      <c r="NBG13" s="319"/>
      <c r="NBH13" s="319"/>
      <c r="NBI13" s="319"/>
      <c r="NBJ13" s="319"/>
      <c r="NBK13" s="319"/>
      <c r="NBL13" s="319"/>
      <c r="NBM13" s="319"/>
      <c r="NBN13" s="319"/>
      <c r="NBO13" s="319"/>
      <c r="NBP13" s="319"/>
      <c r="NBQ13" s="319"/>
      <c r="NBR13" s="319"/>
      <c r="NBS13" s="319"/>
      <c r="NBT13" s="319"/>
      <c r="NBU13" s="319"/>
      <c r="NBV13" s="319"/>
      <c r="NBW13" s="319"/>
      <c r="NBX13" s="319"/>
      <c r="NBY13" s="319"/>
      <c r="NBZ13" s="319"/>
      <c r="NCA13" s="319"/>
      <c r="NCB13" s="319"/>
      <c r="NCC13" s="319"/>
      <c r="NCD13" s="319"/>
      <c r="NCE13" s="319"/>
      <c r="NCF13" s="319"/>
      <c r="NCG13" s="319"/>
      <c r="NCH13" s="319"/>
      <c r="NCI13" s="319"/>
      <c r="NCJ13" s="319"/>
      <c r="NCK13" s="319"/>
      <c r="NCL13" s="319"/>
      <c r="NCM13" s="319"/>
      <c r="NCN13" s="319"/>
      <c r="NCO13" s="319"/>
      <c r="NCP13" s="319"/>
      <c r="NCQ13" s="319"/>
      <c r="NCR13" s="319"/>
      <c r="NCS13" s="319"/>
      <c r="NCT13" s="319"/>
      <c r="NCU13" s="319"/>
      <c r="NCV13" s="319"/>
      <c r="NCW13" s="319"/>
      <c r="NCX13" s="319"/>
      <c r="NCY13" s="319"/>
      <c r="NCZ13" s="319"/>
      <c r="NDA13" s="319"/>
      <c r="NDB13" s="319"/>
      <c r="NDC13" s="319"/>
      <c r="NDD13" s="319"/>
      <c r="NDE13" s="319"/>
      <c r="NDF13" s="319"/>
      <c r="NDG13" s="319"/>
      <c r="NDH13" s="319"/>
      <c r="NDI13" s="319"/>
      <c r="NDJ13" s="319"/>
      <c r="NDK13" s="319"/>
      <c r="NDL13" s="319"/>
      <c r="NDM13" s="319"/>
      <c r="NDN13" s="319"/>
      <c r="NDO13" s="319"/>
      <c r="NDP13" s="319"/>
      <c r="NDQ13" s="319"/>
      <c r="NDR13" s="319"/>
      <c r="NDS13" s="319"/>
      <c r="NDT13" s="319"/>
      <c r="NDU13" s="319"/>
      <c r="NDV13" s="319"/>
      <c r="NDW13" s="319"/>
      <c r="NDX13" s="319"/>
      <c r="NDY13" s="319"/>
      <c r="NDZ13" s="319"/>
      <c r="NEA13" s="319"/>
      <c r="NEB13" s="319"/>
      <c r="NEC13" s="319"/>
      <c r="NED13" s="319"/>
      <c r="NEE13" s="319"/>
      <c r="NEF13" s="319"/>
      <c r="NEG13" s="319"/>
      <c r="NEH13" s="319"/>
      <c r="NEI13" s="319"/>
      <c r="NEJ13" s="319"/>
      <c r="NEK13" s="319"/>
      <c r="NEL13" s="319"/>
      <c r="NEM13" s="319"/>
      <c r="NEN13" s="319"/>
      <c r="NEO13" s="319"/>
      <c r="NEP13" s="319"/>
      <c r="NEQ13" s="319"/>
      <c r="NER13" s="319"/>
      <c r="NES13" s="319"/>
      <c r="NET13" s="319"/>
      <c r="NEU13" s="319"/>
      <c r="NEV13" s="319"/>
      <c r="NEW13" s="319"/>
      <c r="NEX13" s="319"/>
      <c r="NEY13" s="319"/>
      <c r="NEZ13" s="319"/>
      <c r="NFA13" s="319"/>
      <c r="NFB13" s="319"/>
      <c r="NFC13" s="319"/>
      <c r="NFD13" s="319"/>
      <c r="NFE13" s="319"/>
      <c r="NFF13" s="319"/>
      <c r="NFG13" s="319"/>
      <c r="NFH13" s="319"/>
      <c r="NFI13" s="319"/>
      <c r="NFJ13" s="319"/>
      <c r="NFK13" s="319"/>
      <c r="NFL13" s="319"/>
      <c r="NFM13" s="319"/>
      <c r="NFN13" s="319"/>
      <c r="NFO13" s="319"/>
      <c r="NFP13" s="319"/>
      <c r="NFQ13" s="319"/>
      <c r="NFR13" s="319"/>
      <c r="NFS13" s="319"/>
      <c r="NFT13" s="319"/>
      <c r="NFU13" s="319"/>
      <c r="NFV13" s="319"/>
      <c r="NFW13" s="319"/>
      <c r="NFX13" s="319"/>
      <c r="NFY13" s="319"/>
      <c r="NFZ13" s="319"/>
      <c r="NGA13" s="319"/>
      <c r="NGB13" s="319"/>
      <c r="NGC13" s="319"/>
      <c r="NGD13" s="319"/>
      <c r="NGE13" s="319"/>
      <c r="NGF13" s="319"/>
      <c r="NGG13" s="319"/>
      <c r="NGH13" s="319"/>
      <c r="NGI13" s="319"/>
      <c r="NGJ13" s="319"/>
      <c r="NGK13" s="319"/>
      <c r="NGL13" s="319"/>
      <c r="NGM13" s="319"/>
      <c r="NGN13" s="319"/>
      <c r="NGO13" s="319"/>
      <c r="NGP13" s="319"/>
      <c r="NGQ13" s="319"/>
      <c r="NGR13" s="319"/>
      <c r="NGS13" s="319"/>
      <c r="NGT13" s="319"/>
      <c r="NGU13" s="319"/>
      <c r="NGV13" s="319"/>
      <c r="NGW13" s="319"/>
      <c r="NGX13" s="319"/>
      <c r="NGY13" s="319"/>
      <c r="NGZ13" s="319"/>
      <c r="NHA13" s="319"/>
      <c r="NHB13" s="319"/>
      <c r="NHC13" s="319"/>
      <c r="NHD13" s="319"/>
      <c r="NHE13" s="319"/>
      <c r="NHF13" s="319"/>
      <c r="NHG13" s="319"/>
      <c r="NHH13" s="319"/>
      <c r="NHI13" s="319"/>
      <c r="NHJ13" s="319"/>
      <c r="NHK13" s="319"/>
      <c r="NHL13" s="319"/>
      <c r="NHM13" s="319"/>
      <c r="NHN13" s="319"/>
      <c r="NHO13" s="319"/>
      <c r="NHP13" s="319"/>
      <c r="NHQ13" s="319"/>
      <c r="NHR13" s="319"/>
      <c r="NHS13" s="319"/>
      <c r="NHT13" s="319"/>
      <c r="NHU13" s="319"/>
      <c r="NHV13" s="319"/>
      <c r="NHW13" s="319"/>
      <c r="NHX13" s="319"/>
      <c r="NHY13" s="319"/>
      <c r="NHZ13" s="319"/>
      <c r="NIA13" s="319"/>
      <c r="NIB13" s="319"/>
      <c r="NIC13" s="319"/>
      <c r="NID13" s="319"/>
      <c r="NIE13" s="319"/>
      <c r="NIF13" s="319"/>
      <c r="NIG13" s="319"/>
      <c r="NIH13" s="319"/>
      <c r="NII13" s="319"/>
      <c r="NIJ13" s="319"/>
      <c r="NIK13" s="319"/>
      <c r="NIL13" s="319"/>
      <c r="NIM13" s="319"/>
      <c r="NIN13" s="319"/>
      <c r="NIO13" s="319"/>
      <c r="NIP13" s="319"/>
      <c r="NIQ13" s="319"/>
      <c r="NIR13" s="319"/>
      <c r="NIS13" s="319"/>
      <c r="NIT13" s="319"/>
      <c r="NIU13" s="319"/>
      <c r="NIV13" s="319"/>
      <c r="NIW13" s="319"/>
      <c r="NIX13" s="319"/>
      <c r="NIY13" s="319"/>
      <c r="NIZ13" s="319"/>
      <c r="NJA13" s="319"/>
      <c r="NJB13" s="319"/>
      <c r="NJC13" s="319"/>
      <c r="NJD13" s="319"/>
      <c r="NJE13" s="319"/>
      <c r="NJF13" s="319"/>
      <c r="NJG13" s="319"/>
      <c r="NJH13" s="319"/>
      <c r="NJI13" s="319"/>
      <c r="NJJ13" s="319"/>
      <c r="NJK13" s="319"/>
      <c r="NJL13" s="319"/>
      <c r="NJM13" s="319"/>
      <c r="NJN13" s="319"/>
      <c r="NJO13" s="319"/>
      <c r="NJP13" s="319"/>
      <c r="NJQ13" s="319"/>
      <c r="NJR13" s="319"/>
      <c r="NJS13" s="319"/>
      <c r="NJT13" s="319"/>
      <c r="NJU13" s="319"/>
      <c r="NJV13" s="319"/>
      <c r="NJW13" s="319"/>
      <c r="NJX13" s="319"/>
      <c r="NJY13" s="319"/>
      <c r="NJZ13" s="319"/>
      <c r="NKA13" s="319"/>
      <c r="NKB13" s="319"/>
      <c r="NKC13" s="319"/>
      <c r="NKD13" s="319"/>
      <c r="NKE13" s="319"/>
      <c r="NKF13" s="319"/>
      <c r="NKG13" s="319"/>
      <c r="NKH13" s="319"/>
      <c r="NKI13" s="319"/>
      <c r="NKJ13" s="319"/>
      <c r="NKK13" s="319"/>
      <c r="NKL13" s="319"/>
      <c r="NKM13" s="319"/>
      <c r="NKN13" s="319"/>
      <c r="NKO13" s="319"/>
      <c r="NKP13" s="319"/>
      <c r="NKQ13" s="319"/>
      <c r="NKR13" s="319"/>
      <c r="NKS13" s="319"/>
      <c r="NKT13" s="319"/>
      <c r="NKU13" s="319"/>
      <c r="NKV13" s="319"/>
      <c r="NKW13" s="319"/>
      <c r="NKX13" s="319"/>
      <c r="NKY13" s="319"/>
      <c r="NKZ13" s="319"/>
      <c r="NLA13" s="319"/>
      <c r="NLB13" s="319"/>
      <c r="NLC13" s="319"/>
      <c r="NLD13" s="319"/>
      <c r="NLE13" s="319"/>
      <c r="NLF13" s="319"/>
      <c r="NLG13" s="319"/>
      <c r="NLH13" s="319"/>
      <c r="NLI13" s="319"/>
      <c r="NLJ13" s="319"/>
      <c r="NLK13" s="319"/>
      <c r="NLL13" s="319"/>
      <c r="NLM13" s="319"/>
      <c r="NLN13" s="319"/>
      <c r="NLO13" s="319"/>
      <c r="NLP13" s="319"/>
      <c r="NLQ13" s="319"/>
      <c r="NLR13" s="319"/>
      <c r="NLS13" s="319"/>
      <c r="NLT13" s="319"/>
      <c r="NLU13" s="319"/>
      <c r="NLV13" s="319"/>
      <c r="NLW13" s="319"/>
      <c r="NLX13" s="319"/>
      <c r="NLY13" s="319"/>
      <c r="NLZ13" s="319"/>
      <c r="NMA13" s="319"/>
      <c r="NMB13" s="319"/>
      <c r="NMC13" s="319"/>
      <c r="NMD13" s="319"/>
      <c r="NME13" s="319"/>
      <c r="NMF13" s="319"/>
      <c r="NMG13" s="319"/>
      <c r="NMH13" s="319"/>
      <c r="NMI13" s="319"/>
      <c r="NMJ13" s="319"/>
      <c r="NMK13" s="319"/>
      <c r="NML13" s="319"/>
      <c r="NMM13" s="319"/>
      <c r="NMN13" s="319"/>
      <c r="NMO13" s="319"/>
      <c r="NMP13" s="319"/>
      <c r="NMQ13" s="319"/>
      <c r="NMR13" s="319"/>
      <c r="NMS13" s="319"/>
      <c r="NMT13" s="319"/>
      <c r="NMU13" s="319"/>
      <c r="NMV13" s="319"/>
      <c r="NMW13" s="319"/>
      <c r="NMX13" s="319"/>
      <c r="NMY13" s="319"/>
      <c r="NMZ13" s="319"/>
      <c r="NNA13" s="319"/>
      <c r="NNB13" s="319"/>
      <c r="NNC13" s="319"/>
      <c r="NND13" s="319"/>
      <c r="NNE13" s="319"/>
      <c r="NNF13" s="319"/>
      <c r="NNG13" s="319"/>
      <c r="NNH13" s="319"/>
      <c r="NNI13" s="319"/>
      <c r="NNJ13" s="319"/>
      <c r="NNK13" s="319"/>
      <c r="NNL13" s="319"/>
      <c r="NNM13" s="319"/>
      <c r="NNN13" s="319"/>
      <c r="NNO13" s="319"/>
      <c r="NNP13" s="319"/>
      <c r="NNQ13" s="319"/>
      <c r="NNR13" s="319"/>
      <c r="NNS13" s="319"/>
      <c r="NNT13" s="319"/>
      <c r="NNU13" s="319"/>
      <c r="NNV13" s="319"/>
      <c r="NNW13" s="319"/>
      <c r="NNX13" s="319"/>
      <c r="NNY13" s="319"/>
      <c r="NNZ13" s="319"/>
      <c r="NOA13" s="319"/>
      <c r="NOB13" s="319"/>
      <c r="NOC13" s="319"/>
      <c r="NOD13" s="319"/>
      <c r="NOE13" s="319"/>
      <c r="NOF13" s="319"/>
      <c r="NOG13" s="319"/>
      <c r="NOH13" s="319"/>
      <c r="NOI13" s="319"/>
      <c r="NOJ13" s="319"/>
      <c r="NOK13" s="319"/>
      <c r="NOL13" s="319"/>
      <c r="NOM13" s="319"/>
      <c r="NON13" s="319"/>
      <c r="NOO13" s="319"/>
      <c r="NOP13" s="319"/>
      <c r="NOQ13" s="319"/>
      <c r="NOR13" s="319"/>
      <c r="NOS13" s="319"/>
      <c r="NOT13" s="319"/>
      <c r="NOU13" s="319"/>
      <c r="NOV13" s="319"/>
      <c r="NOW13" s="319"/>
      <c r="NOX13" s="319"/>
      <c r="NOY13" s="319"/>
      <c r="NOZ13" s="319"/>
      <c r="NPA13" s="319"/>
      <c r="NPB13" s="319"/>
      <c r="NPC13" s="319"/>
      <c r="NPD13" s="319"/>
      <c r="NPE13" s="319"/>
      <c r="NPF13" s="319"/>
      <c r="NPG13" s="319"/>
      <c r="NPH13" s="319"/>
      <c r="NPI13" s="319"/>
      <c r="NPJ13" s="319"/>
      <c r="NPK13" s="319"/>
      <c r="NPL13" s="319"/>
      <c r="NPM13" s="319"/>
      <c r="NPN13" s="319"/>
      <c r="NPO13" s="319"/>
      <c r="NPP13" s="319"/>
      <c r="NPQ13" s="319"/>
      <c r="NPR13" s="319"/>
      <c r="NPS13" s="319"/>
      <c r="NPT13" s="319"/>
      <c r="NPU13" s="319"/>
      <c r="NPV13" s="319"/>
      <c r="NPW13" s="319"/>
      <c r="NPX13" s="319"/>
      <c r="NPY13" s="319"/>
      <c r="NPZ13" s="319"/>
      <c r="NQA13" s="319"/>
      <c r="NQB13" s="319"/>
      <c r="NQC13" s="319"/>
      <c r="NQD13" s="319"/>
      <c r="NQE13" s="319"/>
      <c r="NQF13" s="319"/>
      <c r="NQG13" s="319"/>
      <c r="NQH13" s="319"/>
      <c r="NQI13" s="319"/>
      <c r="NQJ13" s="319"/>
      <c r="NQK13" s="319"/>
      <c r="NQL13" s="319"/>
      <c r="NQM13" s="319"/>
      <c r="NQN13" s="319"/>
      <c r="NQO13" s="319"/>
      <c r="NQP13" s="319"/>
      <c r="NQQ13" s="319"/>
      <c r="NQR13" s="319"/>
      <c r="NQS13" s="319"/>
      <c r="NQT13" s="319"/>
      <c r="NQU13" s="319"/>
      <c r="NQV13" s="319"/>
      <c r="NQW13" s="319"/>
      <c r="NQX13" s="319"/>
      <c r="NQY13" s="319"/>
      <c r="NQZ13" s="319"/>
      <c r="NRA13" s="319"/>
      <c r="NRB13" s="319"/>
      <c r="NRC13" s="319"/>
      <c r="NRD13" s="319"/>
      <c r="NRE13" s="319"/>
      <c r="NRF13" s="319"/>
      <c r="NRG13" s="319"/>
      <c r="NRH13" s="319"/>
      <c r="NRI13" s="319"/>
      <c r="NRJ13" s="319"/>
      <c r="NRK13" s="319"/>
      <c r="NRL13" s="319"/>
      <c r="NRM13" s="319"/>
      <c r="NRN13" s="319"/>
      <c r="NRO13" s="319"/>
      <c r="NRP13" s="319"/>
      <c r="NRQ13" s="319"/>
      <c r="NRR13" s="319"/>
      <c r="NRS13" s="319"/>
      <c r="NRT13" s="319"/>
      <c r="NRU13" s="319"/>
      <c r="NRV13" s="319"/>
      <c r="NRW13" s="319"/>
      <c r="NRX13" s="319"/>
      <c r="NRY13" s="319"/>
      <c r="NRZ13" s="319"/>
      <c r="NSA13" s="319"/>
      <c r="NSB13" s="319"/>
      <c r="NSC13" s="319"/>
      <c r="NSD13" s="319"/>
      <c r="NSE13" s="319"/>
      <c r="NSF13" s="319"/>
      <c r="NSG13" s="319"/>
      <c r="NSH13" s="319"/>
      <c r="NSI13" s="319"/>
      <c r="NSJ13" s="319"/>
      <c r="NSK13" s="319"/>
      <c r="NSL13" s="319"/>
      <c r="NSM13" s="319"/>
      <c r="NSN13" s="319"/>
      <c r="NSO13" s="319"/>
      <c r="NSP13" s="319"/>
      <c r="NSQ13" s="319"/>
      <c r="NSR13" s="319"/>
      <c r="NSS13" s="319"/>
      <c r="NST13" s="319"/>
      <c r="NSU13" s="319"/>
      <c r="NSV13" s="319"/>
      <c r="NSW13" s="319"/>
      <c r="NSX13" s="319"/>
      <c r="NSY13" s="319"/>
      <c r="NSZ13" s="319"/>
      <c r="NTA13" s="319"/>
      <c r="NTB13" s="319"/>
      <c r="NTC13" s="319"/>
      <c r="NTD13" s="319"/>
      <c r="NTE13" s="319"/>
      <c r="NTF13" s="319"/>
      <c r="NTG13" s="319"/>
      <c r="NTH13" s="319"/>
      <c r="NTI13" s="319"/>
      <c r="NTJ13" s="319"/>
      <c r="NTK13" s="319"/>
      <c r="NTL13" s="319"/>
      <c r="NTM13" s="319"/>
      <c r="NTN13" s="319"/>
      <c r="NTO13" s="319"/>
      <c r="NTP13" s="319"/>
      <c r="NTQ13" s="319"/>
      <c r="NTR13" s="319"/>
      <c r="NTS13" s="319"/>
      <c r="NTT13" s="319"/>
      <c r="NTU13" s="319"/>
      <c r="NTV13" s="319"/>
      <c r="NTW13" s="319"/>
      <c r="NTX13" s="319"/>
      <c r="NTY13" s="319"/>
      <c r="NTZ13" s="319"/>
      <c r="NUA13" s="319"/>
      <c r="NUB13" s="319"/>
      <c r="NUC13" s="319"/>
      <c r="NUD13" s="319"/>
      <c r="NUE13" s="319"/>
      <c r="NUF13" s="319"/>
      <c r="NUG13" s="319"/>
      <c r="NUH13" s="319"/>
      <c r="NUI13" s="319"/>
      <c r="NUJ13" s="319"/>
      <c r="NUK13" s="319"/>
      <c r="NUL13" s="319"/>
      <c r="NUM13" s="319"/>
      <c r="NUN13" s="319"/>
      <c r="NUO13" s="319"/>
      <c r="NUP13" s="319"/>
      <c r="NUQ13" s="319"/>
      <c r="NUR13" s="319"/>
      <c r="NUS13" s="319"/>
      <c r="NUT13" s="319"/>
      <c r="NUU13" s="319"/>
      <c r="NUV13" s="319"/>
      <c r="NUW13" s="319"/>
      <c r="NUX13" s="319"/>
      <c r="NUY13" s="319"/>
      <c r="NUZ13" s="319"/>
      <c r="NVA13" s="319"/>
      <c r="NVB13" s="319"/>
      <c r="NVC13" s="319"/>
      <c r="NVD13" s="319"/>
      <c r="NVE13" s="319"/>
      <c r="NVF13" s="319"/>
      <c r="NVG13" s="319"/>
      <c r="NVH13" s="319"/>
      <c r="NVI13" s="319"/>
      <c r="NVJ13" s="319"/>
      <c r="NVK13" s="319"/>
      <c r="NVL13" s="319"/>
      <c r="NVM13" s="319"/>
      <c r="NVN13" s="319"/>
      <c r="NVO13" s="319"/>
      <c r="NVP13" s="319"/>
      <c r="NVQ13" s="319"/>
      <c r="NVR13" s="319"/>
      <c r="NVS13" s="319"/>
      <c r="NVT13" s="319"/>
      <c r="NVU13" s="319"/>
      <c r="NVV13" s="319"/>
      <c r="NVW13" s="319"/>
      <c r="NVX13" s="319"/>
      <c r="NVY13" s="319"/>
      <c r="NVZ13" s="319"/>
      <c r="NWA13" s="319"/>
      <c r="NWB13" s="319"/>
      <c r="NWC13" s="319"/>
      <c r="NWD13" s="319"/>
      <c r="NWE13" s="319"/>
      <c r="NWF13" s="319"/>
      <c r="NWG13" s="319"/>
      <c r="NWH13" s="319"/>
      <c r="NWI13" s="319"/>
      <c r="NWJ13" s="319"/>
      <c r="NWK13" s="319"/>
      <c r="NWL13" s="319"/>
      <c r="NWM13" s="319"/>
      <c r="NWN13" s="319"/>
      <c r="NWO13" s="319"/>
      <c r="NWP13" s="319"/>
      <c r="NWQ13" s="319"/>
      <c r="NWR13" s="319"/>
      <c r="NWS13" s="319"/>
      <c r="NWT13" s="319"/>
      <c r="NWU13" s="319"/>
      <c r="NWV13" s="319"/>
      <c r="NWW13" s="319"/>
      <c r="NWX13" s="319"/>
      <c r="NWY13" s="319"/>
      <c r="NWZ13" s="319"/>
      <c r="NXA13" s="319"/>
      <c r="NXB13" s="319"/>
      <c r="NXC13" s="319"/>
      <c r="NXD13" s="319"/>
      <c r="NXE13" s="319"/>
      <c r="NXF13" s="319"/>
      <c r="NXG13" s="319"/>
      <c r="NXH13" s="319"/>
      <c r="NXI13" s="319"/>
      <c r="NXJ13" s="319"/>
      <c r="NXK13" s="319"/>
      <c r="NXL13" s="319"/>
      <c r="NXM13" s="319"/>
      <c r="NXN13" s="319"/>
      <c r="NXO13" s="319"/>
      <c r="NXP13" s="319"/>
      <c r="NXQ13" s="319"/>
      <c r="NXR13" s="319"/>
      <c r="NXS13" s="319"/>
      <c r="NXT13" s="319"/>
      <c r="NXU13" s="319"/>
      <c r="NXV13" s="319"/>
      <c r="NXW13" s="319"/>
      <c r="NXX13" s="319"/>
      <c r="NXY13" s="319"/>
      <c r="NXZ13" s="319"/>
      <c r="NYA13" s="319"/>
      <c r="NYB13" s="319"/>
      <c r="NYC13" s="319"/>
      <c r="NYD13" s="319"/>
      <c r="NYE13" s="319"/>
      <c r="NYF13" s="319"/>
      <c r="NYG13" s="319"/>
      <c r="NYH13" s="319"/>
      <c r="NYI13" s="319"/>
      <c r="NYJ13" s="319"/>
      <c r="NYK13" s="319"/>
      <c r="NYL13" s="319"/>
      <c r="NYM13" s="319"/>
      <c r="NYN13" s="319"/>
      <c r="NYO13" s="319"/>
      <c r="NYP13" s="319"/>
      <c r="NYQ13" s="319"/>
      <c r="NYR13" s="319"/>
      <c r="NYS13" s="319"/>
      <c r="NYT13" s="319"/>
      <c r="NYU13" s="319"/>
      <c r="NYV13" s="319"/>
      <c r="NYW13" s="319"/>
      <c r="NYX13" s="319"/>
      <c r="NYY13" s="319"/>
      <c r="NYZ13" s="319"/>
      <c r="NZA13" s="319"/>
      <c r="NZB13" s="319"/>
      <c r="NZC13" s="319"/>
      <c r="NZD13" s="319"/>
      <c r="NZE13" s="319"/>
      <c r="NZF13" s="319"/>
      <c r="NZG13" s="319"/>
      <c r="NZH13" s="319"/>
      <c r="NZI13" s="319"/>
      <c r="NZJ13" s="319"/>
      <c r="NZK13" s="319"/>
      <c r="NZL13" s="319"/>
      <c r="NZM13" s="319"/>
      <c r="NZN13" s="319"/>
      <c r="NZO13" s="319"/>
      <c r="NZP13" s="319"/>
      <c r="NZQ13" s="319"/>
      <c r="NZR13" s="319"/>
      <c r="NZS13" s="319"/>
      <c r="NZT13" s="319"/>
      <c r="NZU13" s="319"/>
      <c r="NZV13" s="319"/>
      <c r="NZW13" s="319"/>
      <c r="NZX13" s="319"/>
      <c r="NZY13" s="319"/>
      <c r="NZZ13" s="319"/>
      <c r="OAA13" s="319"/>
      <c r="OAB13" s="319"/>
      <c r="OAC13" s="319"/>
      <c r="OAD13" s="319"/>
      <c r="OAE13" s="319"/>
      <c r="OAF13" s="319"/>
      <c r="OAG13" s="319"/>
      <c r="OAH13" s="319"/>
      <c r="OAI13" s="319"/>
      <c r="OAJ13" s="319"/>
      <c r="OAK13" s="319"/>
      <c r="OAL13" s="319"/>
      <c r="OAM13" s="319"/>
      <c r="OAN13" s="319"/>
      <c r="OAO13" s="319"/>
      <c r="OAP13" s="319"/>
      <c r="OAQ13" s="319"/>
      <c r="OAR13" s="319"/>
      <c r="OAS13" s="319"/>
      <c r="OAT13" s="319"/>
      <c r="OAU13" s="319"/>
      <c r="OAV13" s="319"/>
      <c r="OAW13" s="319"/>
      <c r="OAX13" s="319"/>
      <c r="OAY13" s="319"/>
      <c r="OAZ13" s="319"/>
      <c r="OBA13" s="319"/>
      <c r="OBB13" s="319"/>
      <c r="OBC13" s="319"/>
      <c r="OBD13" s="319"/>
      <c r="OBE13" s="319"/>
      <c r="OBF13" s="319"/>
      <c r="OBG13" s="319"/>
      <c r="OBH13" s="319"/>
      <c r="OBI13" s="319"/>
      <c r="OBJ13" s="319"/>
      <c r="OBK13" s="319"/>
      <c r="OBL13" s="319"/>
      <c r="OBM13" s="319"/>
      <c r="OBN13" s="319"/>
      <c r="OBO13" s="319"/>
      <c r="OBP13" s="319"/>
      <c r="OBQ13" s="319"/>
      <c r="OBR13" s="319"/>
      <c r="OBS13" s="319"/>
      <c r="OBT13" s="319"/>
      <c r="OBU13" s="319"/>
      <c r="OBV13" s="319"/>
      <c r="OBW13" s="319"/>
      <c r="OBX13" s="319"/>
      <c r="OBY13" s="319"/>
      <c r="OBZ13" s="319"/>
      <c r="OCA13" s="319"/>
      <c r="OCB13" s="319"/>
      <c r="OCC13" s="319"/>
      <c r="OCD13" s="319"/>
      <c r="OCE13" s="319"/>
      <c r="OCF13" s="319"/>
      <c r="OCG13" s="319"/>
      <c r="OCH13" s="319"/>
      <c r="OCI13" s="319"/>
      <c r="OCJ13" s="319"/>
      <c r="OCK13" s="319"/>
      <c r="OCL13" s="319"/>
      <c r="OCM13" s="319"/>
      <c r="OCN13" s="319"/>
      <c r="OCO13" s="319"/>
      <c r="OCP13" s="319"/>
      <c r="OCQ13" s="319"/>
      <c r="OCR13" s="319"/>
      <c r="OCS13" s="319"/>
      <c r="OCT13" s="319"/>
      <c r="OCU13" s="319"/>
      <c r="OCV13" s="319"/>
      <c r="OCW13" s="319"/>
      <c r="OCX13" s="319"/>
      <c r="OCY13" s="319"/>
      <c r="OCZ13" s="319"/>
      <c r="ODA13" s="319"/>
      <c r="ODB13" s="319"/>
      <c r="ODC13" s="319"/>
      <c r="ODD13" s="319"/>
      <c r="ODE13" s="319"/>
      <c r="ODF13" s="319"/>
      <c r="ODG13" s="319"/>
      <c r="ODH13" s="319"/>
      <c r="ODI13" s="319"/>
      <c r="ODJ13" s="319"/>
      <c r="ODK13" s="319"/>
      <c r="ODL13" s="319"/>
      <c r="ODM13" s="319"/>
      <c r="ODN13" s="319"/>
      <c r="ODO13" s="319"/>
      <c r="ODP13" s="319"/>
      <c r="ODQ13" s="319"/>
      <c r="ODR13" s="319"/>
      <c r="ODS13" s="319"/>
      <c r="ODT13" s="319"/>
      <c r="ODU13" s="319"/>
      <c r="ODV13" s="319"/>
      <c r="ODW13" s="319"/>
      <c r="ODX13" s="319"/>
      <c r="ODY13" s="319"/>
      <c r="ODZ13" s="319"/>
      <c r="OEA13" s="319"/>
      <c r="OEB13" s="319"/>
      <c r="OEC13" s="319"/>
      <c r="OED13" s="319"/>
      <c r="OEE13" s="319"/>
      <c r="OEF13" s="319"/>
      <c r="OEG13" s="319"/>
      <c r="OEH13" s="319"/>
      <c r="OEI13" s="319"/>
      <c r="OEJ13" s="319"/>
      <c r="OEK13" s="319"/>
      <c r="OEL13" s="319"/>
      <c r="OEM13" s="319"/>
      <c r="OEN13" s="319"/>
      <c r="OEO13" s="319"/>
      <c r="OEP13" s="319"/>
      <c r="OEQ13" s="319"/>
      <c r="OER13" s="319"/>
      <c r="OES13" s="319"/>
      <c r="OET13" s="319"/>
      <c r="OEU13" s="319"/>
      <c r="OEV13" s="319"/>
      <c r="OEW13" s="319"/>
      <c r="OEX13" s="319"/>
      <c r="OEY13" s="319"/>
      <c r="OEZ13" s="319"/>
      <c r="OFA13" s="319"/>
      <c r="OFB13" s="319"/>
      <c r="OFC13" s="319"/>
      <c r="OFD13" s="319"/>
      <c r="OFE13" s="319"/>
      <c r="OFF13" s="319"/>
      <c r="OFG13" s="319"/>
      <c r="OFH13" s="319"/>
      <c r="OFI13" s="319"/>
      <c r="OFJ13" s="319"/>
      <c r="OFK13" s="319"/>
      <c r="OFL13" s="319"/>
      <c r="OFM13" s="319"/>
      <c r="OFN13" s="319"/>
      <c r="OFO13" s="319"/>
      <c r="OFP13" s="319"/>
      <c r="OFQ13" s="319"/>
      <c r="OFR13" s="319"/>
      <c r="OFS13" s="319"/>
      <c r="OFT13" s="319"/>
      <c r="OFU13" s="319"/>
      <c r="OFV13" s="319"/>
      <c r="OFW13" s="319"/>
      <c r="OFX13" s="319"/>
      <c r="OFY13" s="319"/>
      <c r="OFZ13" s="319"/>
      <c r="OGA13" s="319"/>
      <c r="OGB13" s="319"/>
      <c r="OGC13" s="319"/>
      <c r="OGD13" s="319"/>
      <c r="OGE13" s="319"/>
      <c r="OGF13" s="319"/>
      <c r="OGG13" s="319"/>
      <c r="OGH13" s="319"/>
      <c r="OGI13" s="319"/>
      <c r="OGJ13" s="319"/>
      <c r="OGK13" s="319"/>
      <c r="OGL13" s="319"/>
      <c r="OGM13" s="319"/>
      <c r="OGN13" s="319"/>
      <c r="OGO13" s="319"/>
      <c r="OGP13" s="319"/>
      <c r="OGQ13" s="319"/>
      <c r="OGR13" s="319"/>
      <c r="OGS13" s="319"/>
      <c r="OGT13" s="319"/>
      <c r="OGU13" s="319"/>
      <c r="OGV13" s="319"/>
      <c r="OGW13" s="319"/>
      <c r="OGX13" s="319"/>
      <c r="OGY13" s="319"/>
      <c r="OGZ13" s="319"/>
      <c r="OHA13" s="319"/>
      <c r="OHB13" s="319"/>
      <c r="OHC13" s="319"/>
      <c r="OHD13" s="319"/>
      <c r="OHE13" s="319"/>
      <c r="OHF13" s="319"/>
      <c r="OHG13" s="319"/>
      <c r="OHH13" s="319"/>
      <c r="OHI13" s="319"/>
      <c r="OHJ13" s="319"/>
      <c r="OHK13" s="319"/>
      <c r="OHL13" s="319"/>
      <c r="OHM13" s="319"/>
      <c r="OHN13" s="319"/>
      <c r="OHO13" s="319"/>
      <c r="OHP13" s="319"/>
      <c r="OHQ13" s="319"/>
      <c r="OHR13" s="319"/>
      <c r="OHS13" s="319"/>
      <c r="OHT13" s="319"/>
      <c r="OHU13" s="319"/>
      <c r="OHV13" s="319"/>
      <c r="OHW13" s="319"/>
      <c r="OHX13" s="319"/>
      <c r="OHY13" s="319"/>
      <c r="OHZ13" s="319"/>
      <c r="OIA13" s="319"/>
      <c r="OIB13" s="319"/>
      <c r="OIC13" s="319"/>
      <c r="OID13" s="319"/>
      <c r="OIE13" s="319"/>
      <c r="OIF13" s="319"/>
      <c r="OIG13" s="319"/>
      <c r="OIH13" s="319"/>
      <c r="OII13" s="319"/>
      <c r="OIJ13" s="319"/>
      <c r="OIK13" s="319"/>
      <c r="OIL13" s="319"/>
      <c r="OIM13" s="319"/>
      <c r="OIN13" s="319"/>
      <c r="OIO13" s="319"/>
      <c r="OIP13" s="319"/>
      <c r="OIQ13" s="319"/>
      <c r="OIR13" s="319"/>
      <c r="OIS13" s="319"/>
      <c r="OIT13" s="319"/>
      <c r="OIU13" s="319"/>
      <c r="OIV13" s="319"/>
      <c r="OIW13" s="319"/>
      <c r="OIX13" s="319"/>
      <c r="OIY13" s="319"/>
      <c r="OIZ13" s="319"/>
      <c r="OJA13" s="319"/>
      <c r="OJB13" s="319"/>
      <c r="OJC13" s="319"/>
      <c r="OJD13" s="319"/>
      <c r="OJE13" s="319"/>
      <c r="OJF13" s="319"/>
      <c r="OJG13" s="319"/>
      <c r="OJH13" s="319"/>
      <c r="OJI13" s="319"/>
      <c r="OJJ13" s="319"/>
      <c r="OJK13" s="319"/>
      <c r="OJL13" s="319"/>
      <c r="OJM13" s="319"/>
      <c r="OJN13" s="319"/>
      <c r="OJO13" s="319"/>
      <c r="OJP13" s="319"/>
      <c r="OJQ13" s="319"/>
      <c r="OJR13" s="319"/>
      <c r="OJS13" s="319"/>
      <c r="OJT13" s="319"/>
      <c r="OJU13" s="319"/>
      <c r="OJV13" s="319"/>
      <c r="OJW13" s="319"/>
      <c r="OJX13" s="319"/>
      <c r="OJY13" s="319"/>
      <c r="OJZ13" s="319"/>
      <c r="OKA13" s="319"/>
      <c r="OKB13" s="319"/>
      <c r="OKC13" s="319"/>
      <c r="OKD13" s="319"/>
      <c r="OKE13" s="319"/>
      <c r="OKF13" s="319"/>
      <c r="OKG13" s="319"/>
      <c r="OKH13" s="319"/>
      <c r="OKI13" s="319"/>
      <c r="OKJ13" s="319"/>
      <c r="OKK13" s="319"/>
      <c r="OKL13" s="319"/>
      <c r="OKM13" s="319"/>
      <c r="OKN13" s="319"/>
      <c r="OKO13" s="319"/>
      <c r="OKP13" s="319"/>
      <c r="OKQ13" s="319"/>
      <c r="OKR13" s="319"/>
      <c r="OKS13" s="319"/>
      <c r="OKT13" s="319"/>
      <c r="OKU13" s="319"/>
      <c r="OKV13" s="319"/>
      <c r="OKW13" s="319"/>
      <c r="OKX13" s="319"/>
      <c r="OKY13" s="319"/>
      <c r="OKZ13" s="319"/>
      <c r="OLA13" s="319"/>
      <c r="OLB13" s="319"/>
      <c r="OLC13" s="319"/>
      <c r="OLD13" s="319"/>
      <c r="OLE13" s="319"/>
      <c r="OLF13" s="319"/>
      <c r="OLG13" s="319"/>
      <c r="OLH13" s="319"/>
      <c r="OLI13" s="319"/>
      <c r="OLJ13" s="319"/>
      <c r="OLK13" s="319"/>
      <c r="OLL13" s="319"/>
      <c r="OLM13" s="319"/>
      <c r="OLN13" s="319"/>
      <c r="OLO13" s="319"/>
      <c r="OLP13" s="319"/>
      <c r="OLQ13" s="319"/>
      <c r="OLR13" s="319"/>
      <c r="OLS13" s="319"/>
      <c r="OLT13" s="319"/>
      <c r="OLU13" s="319"/>
      <c r="OLV13" s="319"/>
      <c r="OLW13" s="319"/>
      <c r="OLX13" s="319"/>
      <c r="OLY13" s="319"/>
      <c r="OLZ13" s="319"/>
      <c r="OMA13" s="319"/>
      <c r="OMB13" s="319"/>
      <c r="OMC13" s="319"/>
      <c r="OMD13" s="319"/>
      <c r="OME13" s="319"/>
      <c r="OMF13" s="319"/>
      <c r="OMG13" s="319"/>
      <c r="OMH13" s="319"/>
      <c r="OMI13" s="319"/>
      <c r="OMJ13" s="319"/>
      <c r="OMK13" s="319"/>
      <c r="OML13" s="319"/>
      <c r="OMM13" s="319"/>
      <c r="OMN13" s="319"/>
      <c r="OMO13" s="319"/>
      <c r="OMP13" s="319"/>
      <c r="OMQ13" s="319"/>
      <c r="OMR13" s="319"/>
      <c r="OMS13" s="319"/>
      <c r="OMT13" s="319"/>
      <c r="OMU13" s="319"/>
      <c r="OMV13" s="319"/>
      <c r="OMW13" s="319"/>
      <c r="OMX13" s="319"/>
      <c r="OMY13" s="319"/>
      <c r="OMZ13" s="319"/>
      <c r="ONA13" s="319"/>
      <c r="ONB13" s="319"/>
      <c r="ONC13" s="319"/>
      <c r="OND13" s="319"/>
      <c r="ONE13" s="319"/>
      <c r="ONF13" s="319"/>
      <c r="ONG13" s="319"/>
      <c r="ONH13" s="319"/>
      <c r="ONI13" s="319"/>
      <c r="ONJ13" s="319"/>
      <c r="ONK13" s="319"/>
      <c r="ONL13" s="319"/>
      <c r="ONM13" s="319"/>
      <c r="ONN13" s="319"/>
      <c r="ONO13" s="319"/>
      <c r="ONP13" s="319"/>
      <c r="ONQ13" s="319"/>
      <c r="ONR13" s="319"/>
      <c r="ONS13" s="319"/>
      <c r="ONT13" s="319"/>
      <c r="ONU13" s="319"/>
      <c r="ONV13" s="319"/>
      <c r="ONW13" s="319"/>
      <c r="ONX13" s="319"/>
      <c r="ONY13" s="319"/>
      <c r="ONZ13" s="319"/>
      <c r="OOA13" s="319"/>
      <c r="OOB13" s="319"/>
      <c r="OOC13" s="319"/>
      <c r="OOD13" s="319"/>
      <c r="OOE13" s="319"/>
      <c r="OOF13" s="319"/>
      <c r="OOG13" s="319"/>
      <c r="OOH13" s="319"/>
      <c r="OOI13" s="319"/>
      <c r="OOJ13" s="319"/>
      <c r="OOK13" s="319"/>
      <c r="OOL13" s="319"/>
      <c r="OOM13" s="319"/>
      <c r="OON13" s="319"/>
      <c r="OOO13" s="319"/>
      <c r="OOP13" s="319"/>
      <c r="OOQ13" s="319"/>
      <c r="OOR13" s="319"/>
      <c r="OOS13" s="319"/>
      <c r="OOT13" s="319"/>
      <c r="OOU13" s="319"/>
      <c r="OOV13" s="319"/>
      <c r="OOW13" s="319"/>
      <c r="OOX13" s="319"/>
      <c r="OOY13" s="319"/>
      <c r="OOZ13" s="319"/>
      <c r="OPA13" s="319"/>
      <c r="OPB13" s="319"/>
      <c r="OPC13" s="319"/>
      <c r="OPD13" s="319"/>
      <c r="OPE13" s="319"/>
      <c r="OPF13" s="319"/>
      <c r="OPG13" s="319"/>
      <c r="OPH13" s="319"/>
      <c r="OPI13" s="319"/>
      <c r="OPJ13" s="319"/>
      <c r="OPK13" s="319"/>
      <c r="OPL13" s="319"/>
      <c r="OPM13" s="319"/>
      <c r="OPN13" s="319"/>
      <c r="OPO13" s="319"/>
      <c r="OPP13" s="319"/>
      <c r="OPQ13" s="319"/>
      <c r="OPR13" s="319"/>
      <c r="OPS13" s="319"/>
      <c r="OPT13" s="319"/>
      <c r="OPU13" s="319"/>
      <c r="OPV13" s="319"/>
      <c r="OPW13" s="319"/>
      <c r="OPX13" s="319"/>
      <c r="OPY13" s="319"/>
      <c r="OPZ13" s="319"/>
      <c r="OQA13" s="319"/>
      <c r="OQB13" s="319"/>
      <c r="OQC13" s="319"/>
      <c r="OQD13" s="319"/>
      <c r="OQE13" s="319"/>
      <c r="OQF13" s="319"/>
      <c r="OQG13" s="319"/>
      <c r="OQH13" s="319"/>
      <c r="OQI13" s="319"/>
      <c r="OQJ13" s="319"/>
      <c r="OQK13" s="319"/>
      <c r="OQL13" s="319"/>
      <c r="OQM13" s="319"/>
      <c r="OQN13" s="319"/>
      <c r="OQO13" s="319"/>
      <c r="OQP13" s="319"/>
      <c r="OQQ13" s="319"/>
      <c r="OQR13" s="319"/>
      <c r="OQS13" s="319"/>
      <c r="OQT13" s="319"/>
      <c r="OQU13" s="319"/>
      <c r="OQV13" s="319"/>
      <c r="OQW13" s="319"/>
      <c r="OQX13" s="319"/>
      <c r="OQY13" s="319"/>
      <c r="OQZ13" s="319"/>
      <c r="ORA13" s="319"/>
      <c r="ORB13" s="319"/>
      <c r="ORC13" s="319"/>
      <c r="ORD13" s="319"/>
      <c r="ORE13" s="319"/>
      <c r="ORF13" s="319"/>
      <c r="ORG13" s="319"/>
      <c r="ORH13" s="319"/>
      <c r="ORI13" s="319"/>
      <c r="ORJ13" s="319"/>
      <c r="ORK13" s="319"/>
      <c r="ORL13" s="319"/>
      <c r="ORM13" s="319"/>
      <c r="ORN13" s="319"/>
      <c r="ORO13" s="319"/>
      <c r="ORP13" s="319"/>
      <c r="ORQ13" s="319"/>
      <c r="ORR13" s="319"/>
      <c r="ORS13" s="319"/>
      <c r="ORT13" s="319"/>
      <c r="ORU13" s="319"/>
      <c r="ORV13" s="319"/>
      <c r="ORW13" s="319"/>
      <c r="ORX13" s="319"/>
      <c r="ORY13" s="319"/>
      <c r="ORZ13" s="319"/>
      <c r="OSA13" s="319"/>
      <c r="OSB13" s="319"/>
      <c r="OSC13" s="319"/>
      <c r="OSD13" s="319"/>
      <c r="OSE13" s="319"/>
      <c r="OSF13" s="319"/>
      <c r="OSG13" s="319"/>
      <c r="OSH13" s="319"/>
      <c r="OSI13" s="319"/>
      <c r="OSJ13" s="319"/>
      <c r="OSK13" s="319"/>
      <c r="OSL13" s="319"/>
      <c r="OSM13" s="319"/>
      <c r="OSN13" s="319"/>
      <c r="OSO13" s="319"/>
      <c r="OSP13" s="319"/>
      <c r="OSQ13" s="319"/>
      <c r="OSR13" s="319"/>
      <c r="OSS13" s="319"/>
      <c r="OST13" s="319"/>
      <c r="OSU13" s="319"/>
      <c r="OSV13" s="319"/>
      <c r="OSW13" s="319"/>
      <c r="OSX13" s="319"/>
      <c r="OSY13" s="319"/>
      <c r="OSZ13" s="319"/>
      <c r="OTA13" s="319"/>
      <c r="OTB13" s="319"/>
      <c r="OTC13" s="319"/>
      <c r="OTD13" s="319"/>
      <c r="OTE13" s="319"/>
      <c r="OTF13" s="319"/>
      <c r="OTG13" s="319"/>
      <c r="OTH13" s="319"/>
      <c r="OTI13" s="319"/>
      <c r="OTJ13" s="319"/>
      <c r="OTK13" s="319"/>
      <c r="OTL13" s="319"/>
      <c r="OTM13" s="319"/>
      <c r="OTN13" s="319"/>
      <c r="OTO13" s="319"/>
      <c r="OTP13" s="319"/>
      <c r="OTQ13" s="319"/>
      <c r="OTR13" s="319"/>
      <c r="OTS13" s="319"/>
      <c r="OTT13" s="319"/>
      <c r="OTU13" s="319"/>
      <c r="OTV13" s="319"/>
      <c r="OTW13" s="319"/>
      <c r="OTX13" s="319"/>
      <c r="OTY13" s="319"/>
      <c r="OTZ13" s="319"/>
      <c r="OUA13" s="319"/>
      <c r="OUB13" s="319"/>
      <c r="OUC13" s="319"/>
      <c r="OUD13" s="319"/>
      <c r="OUE13" s="319"/>
      <c r="OUF13" s="319"/>
      <c r="OUG13" s="319"/>
      <c r="OUH13" s="319"/>
      <c r="OUI13" s="319"/>
      <c r="OUJ13" s="319"/>
      <c r="OUK13" s="319"/>
      <c r="OUL13" s="319"/>
      <c r="OUM13" s="319"/>
      <c r="OUN13" s="319"/>
      <c r="OUO13" s="319"/>
      <c r="OUP13" s="319"/>
      <c r="OUQ13" s="319"/>
      <c r="OUR13" s="319"/>
      <c r="OUS13" s="319"/>
      <c r="OUT13" s="319"/>
      <c r="OUU13" s="319"/>
      <c r="OUV13" s="319"/>
      <c r="OUW13" s="319"/>
      <c r="OUX13" s="319"/>
      <c r="OUY13" s="319"/>
      <c r="OUZ13" s="319"/>
      <c r="OVA13" s="319"/>
      <c r="OVB13" s="319"/>
      <c r="OVC13" s="319"/>
      <c r="OVD13" s="319"/>
      <c r="OVE13" s="319"/>
      <c r="OVF13" s="319"/>
      <c r="OVG13" s="319"/>
      <c r="OVH13" s="319"/>
      <c r="OVI13" s="319"/>
      <c r="OVJ13" s="319"/>
      <c r="OVK13" s="319"/>
      <c r="OVL13" s="319"/>
      <c r="OVM13" s="319"/>
      <c r="OVN13" s="319"/>
      <c r="OVO13" s="319"/>
      <c r="OVP13" s="319"/>
      <c r="OVQ13" s="319"/>
      <c r="OVR13" s="319"/>
      <c r="OVS13" s="319"/>
      <c r="OVT13" s="319"/>
      <c r="OVU13" s="319"/>
      <c r="OVV13" s="319"/>
      <c r="OVW13" s="319"/>
      <c r="OVX13" s="319"/>
      <c r="OVY13" s="319"/>
      <c r="OVZ13" s="319"/>
      <c r="OWA13" s="319"/>
      <c r="OWB13" s="319"/>
      <c r="OWC13" s="319"/>
      <c r="OWD13" s="319"/>
      <c r="OWE13" s="319"/>
      <c r="OWF13" s="319"/>
      <c r="OWG13" s="319"/>
      <c r="OWH13" s="319"/>
      <c r="OWI13" s="319"/>
      <c r="OWJ13" s="319"/>
      <c r="OWK13" s="319"/>
      <c r="OWL13" s="319"/>
      <c r="OWM13" s="319"/>
      <c r="OWN13" s="319"/>
      <c r="OWO13" s="319"/>
      <c r="OWP13" s="319"/>
      <c r="OWQ13" s="319"/>
      <c r="OWR13" s="319"/>
      <c r="OWS13" s="319"/>
      <c r="OWT13" s="319"/>
      <c r="OWU13" s="319"/>
      <c r="OWV13" s="319"/>
      <c r="OWW13" s="319"/>
      <c r="OWX13" s="319"/>
      <c r="OWY13" s="319"/>
      <c r="OWZ13" s="319"/>
      <c r="OXA13" s="319"/>
      <c r="OXB13" s="319"/>
      <c r="OXC13" s="319"/>
      <c r="OXD13" s="319"/>
      <c r="OXE13" s="319"/>
      <c r="OXF13" s="319"/>
      <c r="OXG13" s="319"/>
      <c r="OXH13" s="319"/>
      <c r="OXI13" s="319"/>
      <c r="OXJ13" s="319"/>
      <c r="OXK13" s="319"/>
      <c r="OXL13" s="319"/>
      <c r="OXM13" s="319"/>
      <c r="OXN13" s="319"/>
      <c r="OXO13" s="319"/>
      <c r="OXP13" s="319"/>
      <c r="OXQ13" s="319"/>
      <c r="OXR13" s="319"/>
      <c r="OXS13" s="319"/>
      <c r="OXT13" s="319"/>
      <c r="OXU13" s="319"/>
      <c r="OXV13" s="319"/>
      <c r="OXW13" s="319"/>
      <c r="OXX13" s="319"/>
      <c r="OXY13" s="319"/>
      <c r="OXZ13" s="319"/>
      <c r="OYA13" s="319"/>
      <c r="OYB13" s="319"/>
      <c r="OYC13" s="319"/>
      <c r="OYD13" s="319"/>
      <c r="OYE13" s="319"/>
      <c r="OYF13" s="319"/>
      <c r="OYG13" s="319"/>
      <c r="OYH13" s="319"/>
      <c r="OYI13" s="319"/>
      <c r="OYJ13" s="319"/>
      <c r="OYK13" s="319"/>
      <c r="OYL13" s="319"/>
      <c r="OYM13" s="319"/>
      <c r="OYN13" s="319"/>
      <c r="OYO13" s="319"/>
      <c r="OYP13" s="319"/>
      <c r="OYQ13" s="319"/>
      <c r="OYR13" s="319"/>
      <c r="OYS13" s="319"/>
      <c r="OYT13" s="319"/>
      <c r="OYU13" s="319"/>
      <c r="OYV13" s="319"/>
      <c r="OYW13" s="319"/>
      <c r="OYX13" s="319"/>
      <c r="OYY13" s="319"/>
      <c r="OYZ13" s="319"/>
      <c r="OZA13" s="319"/>
      <c r="OZB13" s="319"/>
      <c r="OZC13" s="319"/>
      <c r="OZD13" s="319"/>
      <c r="OZE13" s="319"/>
      <c r="OZF13" s="319"/>
      <c r="OZG13" s="319"/>
      <c r="OZH13" s="319"/>
      <c r="OZI13" s="319"/>
      <c r="OZJ13" s="319"/>
      <c r="OZK13" s="319"/>
      <c r="OZL13" s="319"/>
      <c r="OZM13" s="319"/>
      <c r="OZN13" s="319"/>
      <c r="OZO13" s="319"/>
      <c r="OZP13" s="319"/>
      <c r="OZQ13" s="319"/>
      <c r="OZR13" s="319"/>
      <c r="OZS13" s="319"/>
      <c r="OZT13" s="319"/>
      <c r="OZU13" s="319"/>
      <c r="OZV13" s="319"/>
      <c r="OZW13" s="319"/>
      <c r="OZX13" s="319"/>
      <c r="OZY13" s="319"/>
      <c r="OZZ13" s="319"/>
      <c r="PAA13" s="319"/>
      <c r="PAB13" s="319"/>
      <c r="PAC13" s="319"/>
      <c r="PAD13" s="319"/>
      <c r="PAE13" s="319"/>
      <c r="PAF13" s="319"/>
      <c r="PAG13" s="319"/>
      <c r="PAH13" s="319"/>
      <c r="PAI13" s="319"/>
      <c r="PAJ13" s="319"/>
      <c r="PAK13" s="319"/>
      <c r="PAL13" s="319"/>
      <c r="PAM13" s="319"/>
      <c r="PAN13" s="319"/>
      <c r="PAO13" s="319"/>
      <c r="PAP13" s="319"/>
      <c r="PAQ13" s="319"/>
      <c r="PAR13" s="319"/>
      <c r="PAS13" s="319"/>
      <c r="PAT13" s="319"/>
      <c r="PAU13" s="319"/>
      <c r="PAV13" s="319"/>
      <c r="PAW13" s="319"/>
      <c r="PAX13" s="319"/>
      <c r="PAY13" s="319"/>
      <c r="PAZ13" s="319"/>
      <c r="PBA13" s="319"/>
      <c r="PBB13" s="319"/>
      <c r="PBC13" s="319"/>
      <c r="PBD13" s="319"/>
      <c r="PBE13" s="319"/>
      <c r="PBF13" s="319"/>
      <c r="PBG13" s="319"/>
      <c r="PBH13" s="319"/>
      <c r="PBI13" s="319"/>
      <c r="PBJ13" s="319"/>
      <c r="PBK13" s="319"/>
      <c r="PBL13" s="319"/>
      <c r="PBM13" s="319"/>
      <c r="PBN13" s="319"/>
      <c r="PBO13" s="319"/>
      <c r="PBP13" s="319"/>
      <c r="PBQ13" s="319"/>
      <c r="PBR13" s="319"/>
      <c r="PBS13" s="319"/>
      <c r="PBT13" s="319"/>
      <c r="PBU13" s="319"/>
      <c r="PBV13" s="319"/>
      <c r="PBW13" s="319"/>
      <c r="PBX13" s="319"/>
      <c r="PBY13" s="319"/>
      <c r="PBZ13" s="319"/>
      <c r="PCA13" s="319"/>
      <c r="PCB13" s="319"/>
      <c r="PCC13" s="319"/>
      <c r="PCD13" s="319"/>
      <c r="PCE13" s="319"/>
      <c r="PCF13" s="319"/>
      <c r="PCG13" s="319"/>
      <c r="PCH13" s="319"/>
      <c r="PCI13" s="319"/>
      <c r="PCJ13" s="319"/>
      <c r="PCK13" s="319"/>
      <c r="PCL13" s="319"/>
      <c r="PCM13" s="319"/>
      <c r="PCN13" s="319"/>
      <c r="PCO13" s="319"/>
      <c r="PCP13" s="319"/>
      <c r="PCQ13" s="319"/>
      <c r="PCR13" s="319"/>
      <c r="PCS13" s="319"/>
      <c r="PCT13" s="319"/>
      <c r="PCU13" s="319"/>
      <c r="PCV13" s="319"/>
      <c r="PCW13" s="319"/>
      <c r="PCX13" s="319"/>
      <c r="PCY13" s="319"/>
      <c r="PCZ13" s="319"/>
      <c r="PDA13" s="319"/>
      <c r="PDB13" s="319"/>
      <c r="PDC13" s="319"/>
      <c r="PDD13" s="319"/>
      <c r="PDE13" s="319"/>
      <c r="PDF13" s="319"/>
      <c r="PDG13" s="319"/>
      <c r="PDH13" s="319"/>
      <c r="PDI13" s="319"/>
      <c r="PDJ13" s="319"/>
      <c r="PDK13" s="319"/>
      <c r="PDL13" s="319"/>
      <c r="PDM13" s="319"/>
      <c r="PDN13" s="319"/>
      <c r="PDO13" s="319"/>
      <c r="PDP13" s="319"/>
      <c r="PDQ13" s="319"/>
      <c r="PDR13" s="319"/>
      <c r="PDS13" s="319"/>
      <c r="PDT13" s="319"/>
      <c r="PDU13" s="319"/>
      <c r="PDV13" s="319"/>
      <c r="PDW13" s="319"/>
      <c r="PDX13" s="319"/>
      <c r="PDY13" s="319"/>
      <c r="PDZ13" s="319"/>
      <c r="PEA13" s="319"/>
      <c r="PEB13" s="319"/>
      <c r="PEC13" s="319"/>
      <c r="PED13" s="319"/>
      <c r="PEE13" s="319"/>
      <c r="PEF13" s="319"/>
      <c r="PEG13" s="319"/>
      <c r="PEH13" s="319"/>
      <c r="PEI13" s="319"/>
      <c r="PEJ13" s="319"/>
      <c r="PEK13" s="319"/>
      <c r="PEL13" s="319"/>
      <c r="PEM13" s="319"/>
      <c r="PEN13" s="319"/>
      <c r="PEO13" s="319"/>
      <c r="PEP13" s="319"/>
      <c r="PEQ13" s="319"/>
      <c r="PER13" s="319"/>
      <c r="PES13" s="319"/>
      <c r="PET13" s="319"/>
      <c r="PEU13" s="319"/>
      <c r="PEV13" s="319"/>
      <c r="PEW13" s="319"/>
      <c r="PEX13" s="319"/>
      <c r="PEY13" s="319"/>
      <c r="PEZ13" s="319"/>
      <c r="PFA13" s="319"/>
      <c r="PFB13" s="319"/>
      <c r="PFC13" s="319"/>
      <c r="PFD13" s="319"/>
      <c r="PFE13" s="319"/>
      <c r="PFF13" s="319"/>
      <c r="PFG13" s="319"/>
      <c r="PFH13" s="319"/>
      <c r="PFI13" s="319"/>
      <c r="PFJ13" s="319"/>
      <c r="PFK13" s="319"/>
      <c r="PFL13" s="319"/>
      <c r="PFM13" s="319"/>
      <c r="PFN13" s="319"/>
      <c r="PFO13" s="319"/>
      <c r="PFP13" s="319"/>
      <c r="PFQ13" s="319"/>
      <c r="PFR13" s="319"/>
      <c r="PFS13" s="319"/>
      <c r="PFT13" s="319"/>
      <c r="PFU13" s="319"/>
      <c r="PFV13" s="319"/>
      <c r="PFW13" s="319"/>
      <c r="PFX13" s="319"/>
      <c r="PFY13" s="319"/>
      <c r="PFZ13" s="319"/>
      <c r="PGA13" s="319"/>
      <c r="PGB13" s="319"/>
      <c r="PGC13" s="319"/>
      <c r="PGD13" s="319"/>
      <c r="PGE13" s="319"/>
      <c r="PGF13" s="319"/>
      <c r="PGG13" s="319"/>
      <c r="PGH13" s="319"/>
      <c r="PGI13" s="319"/>
      <c r="PGJ13" s="319"/>
      <c r="PGK13" s="319"/>
      <c r="PGL13" s="319"/>
      <c r="PGM13" s="319"/>
      <c r="PGN13" s="319"/>
      <c r="PGO13" s="319"/>
      <c r="PGP13" s="319"/>
      <c r="PGQ13" s="319"/>
      <c r="PGR13" s="319"/>
      <c r="PGS13" s="319"/>
      <c r="PGT13" s="319"/>
      <c r="PGU13" s="319"/>
      <c r="PGV13" s="319"/>
      <c r="PGW13" s="319"/>
      <c r="PGX13" s="319"/>
      <c r="PGY13" s="319"/>
      <c r="PGZ13" s="319"/>
      <c r="PHA13" s="319"/>
      <c r="PHB13" s="319"/>
      <c r="PHC13" s="319"/>
      <c r="PHD13" s="319"/>
      <c r="PHE13" s="319"/>
      <c r="PHF13" s="319"/>
      <c r="PHG13" s="319"/>
      <c r="PHH13" s="319"/>
      <c r="PHI13" s="319"/>
      <c r="PHJ13" s="319"/>
      <c r="PHK13" s="319"/>
      <c r="PHL13" s="319"/>
      <c r="PHM13" s="319"/>
      <c r="PHN13" s="319"/>
      <c r="PHO13" s="319"/>
      <c r="PHP13" s="319"/>
      <c r="PHQ13" s="319"/>
      <c r="PHR13" s="319"/>
      <c r="PHS13" s="319"/>
      <c r="PHT13" s="319"/>
      <c r="PHU13" s="319"/>
      <c r="PHV13" s="319"/>
      <c r="PHW13" s="319"/>
      <c r="PHX13" s="319"/>
      <c r="PHY13" s="319"/>
      <c r="PHZ13" s="319"/>
      <c r="PIA13" s="319"/>
      <c r="PIB13" s="319"/>
      <c r="PIC13" s="319"/>
      <c r="PID13" s="319"/>
      <c r="PIE13" s="319"/>
      <c r="PIF13" s="319"/>
      <c r="PIG13" s="319"/>
      <c r="PIH13" s="319"/>
      <c r="PII13" s="319"/>
      <c r="PIJ13" s="319"/>
      <c r="PIK13" s="319"/>
      <c r="PIL13" s="319"/>
      <c r="PIM13" s="319"/>
      <c r="PIN13" s="319"/>
      <c r="PIO13" s="319"/>
      <c r="PIP13" s="319"/>
      <c r="PIQ13" s="319"/>
      <c r="PIR13" s="319"/>
      <c r="PIS13" s="319"/>
      <c r="PIT13" s="319"/>
      <c r="PIU13" s="319"/>
      <c r="PIV13" s="319"/>
      <c r="PIW13" s="319"/>
      <c r="PIX13" s="319"/>
      <c r="PIY13" s="319"/>
      <c r="PIZ13" s="319"/>
      <c r="PJA13" s="319"/>
      <c r="PJB13" s="319"/>
      <c r="PJC13" s="319"/>
      <c r="PJD13" s="319"/>
      <c r="PJE13" s="319"/>
      <c r="PJF13" s="319"/>
      <c r="PJG13" s="319"/>
      <c r="PJH13" s="319"/>
      <c r="PJI13" s="319"/>
      <c r="PJJ13" s="319"/>
      <c r="PJK13" s="319"/>
      <c r="PJL13" s="319"/>
      <c r="PJM13" s="319"/>
      <c r="PJN13" s="319"/>
      <c r="PJO13" s="319"/>
      <c r="PJP13" s="319"/>
      <c r="PJQ13" s="319"/>
      <c r="PJR13" s="319"/>
      <c r="PJS13" s="319"/>
      <c r="PJT13" s="319"/>
      <c r="PJU13" s="319"/>
      <c r="PJV13" s="319"/>
      <c r="PJW13" s="319"/>
      <c r="PJX13" s="319"/>
      <c r="PJY13" s="319"/>
      <c r="PJZ13" s="319"/>
      <c r="PKA13" s="319"/>
      <c r="PKB13" s="319"/>
      <c r="PKC13" s="319"/>
      <c r="PKD13" s="319"/>
      <c r="PKE13" s="319"/>
      <c r="PKF13" s="319"/>
      <c r="PKG13" s="319"/>
      <c r="PKH13" s="319"/>
      <c r="PKI13" s="319"/>
      <c r="PKJ13" s="319"/>
      <c r="PKK13" s="319"/>
      <c r="PKL13" s="319"/>
      <c r="PKM13" s="319"/>
      <c r="PKN13" s="319"/>
      <c r="PKO13" s="319"/>
      <c r="PKP13" s="319"/>
      <c r="PKQ13" s="319"/>
      <c r="PKR13" s="319"/>
      <c r="PKS13" s="319"/>
      <c r="PKT13" s="319"/>
      <c r="PKU13" s="319"/>
      <c r="PKV13" s="319"/>
      <c r="PKW13" s="319"/>
      <c r="PKX13" s="319"/>
      <c r="PKY13" s="319"/>
      <c r="PKZ13" s="319"/>
      <c r="PLA13" s="319"/>
      <c r="PLB13" s="319"/>
      <c r="PLC13" s="319"/>
      <c r="PLD13" s="319"/>
      <c r="PLE13" s="319"/>
      <c r="PLF13" s="319"/>
      <c r="PLG13" s="319"/>
      <c r="PLH13" s="319"/>
      <c r="PLI13" s="319"/>
      <c r="PLJ13" s="319"/>
      <c r="PLK13" s="319"/>
      <c r="PLL13" s="319"/>
      <c r="PLM13" s="319"/>
      <c r="PLN13" s="319"/>
      <c r="PLO13" s="319"/>
      <c r="PLP13" s="319"/>
      <c r="PLQ13" s="319"/>
      <c r="PLR13" s="319"/>
      <c r="PLS13" s="319"/>
      <c r="PLT13" s="319"/>
      <c r="PLU13" s="319"/>
      <c r="PLV13" s="319"/>
      <c r="PLW13" s="319"/>
      <c r="PLX13" s="319"/>
      <c r="PLY13" s="319"/>
      <c r="PLZ13" s="319"/>
      <c r="PMA13" s="319"/>
      <c r="PMB13" s="319"/>
      <c r="PMC13" s="319"/>
      <c r="PMD13" s="319"/>
      <c r="PME13" s="319"/>
      <c r="PMF13" s="319"/>
      <c r="PMG13" s="319"/>
      <c r="PMH13" s="319"/>
      <c r="PMI13" s="319"/>
      <c r="PMJ13" s="319"/>
      <c r="PMK13" s="319"/>
      <c r="PML13" s="319"/>
      <c r="PMM13" s="319"/>
      <c r="PMN13" s="319"/>
      <c r="PMO13" s="319"/>
      <c r="PMP13" s="319"/>
      <c r="PMQ13" s="319"/>
      <c r="PMR13" s="319"/>
      <c r="PMS13" s="319"/>
      <c r="PMT13" s="319"/>
      <c r="PMU13" s="319"/>
      <c r="PMV13" s="319"/>
      <c r="PMW13" s="319"/>
      <c r="PMX13" s="319"/>
      <c r="PMY13" s="319"/>
      <c r="PMZ13" s="319"/>
      <c r="PNA13" s="319"/>
      <c r="PNB13" s="319"/>
      <c r="PNC13" s="319"/>
      <c r="PND13" s="319"/>
      <c r="PNE13" s="319"/>
      <c r="PNF13" s="319"/>
      <c r="PNG13" s="319"/>
      <c r="PNH13" s="319"/>
      <c r="PNI13" s="319"/>
      <c r="PNJ13" s="319"/>
      <c r="PNK13" s="319"/>
      <c r="PNL13" s="319"/>
      <c r="PNM13" s="319"/>
      <c r="PNN13" s="319"/>
      <c r="PNO13" s="319"/>
      <c r="PNP13" s="319"/>
      <c r="PNQ13" s="319"/>
      <c r="PNR13" s="319"/>
      <c r="PNS13" s="319"/>
      <c r="PNT13" s="319"/>
      <c r="PNU13" s="319"/>
      <c r="PNV13" s="319"/>
      <c r="PNW13" s="319"/>
      <c r="PNX13" s="319"/>
      <c r="PNY13" s="319"/>
      <c r="PNZ13" s="319"/>
      <c r="POA13" s="319"/>
      <c r="POB13" s="319"/>
      <c r="POC13" s="319"/>
      <c r="POD13" s="319"/>
      <c r="POE13" s="319"/>
      <c r="POF13" s="319"/>
      <c r="POG13" s="319"/>
      <c r="POH13" s="319"/>
      <c r="POI13" s="319"/>
      <c r="POJ13" s="319"/>
      <c r="POK13" s="319"/>
      <c r="POL13" s="319"/>
      <c r="POM13" s="319"/>
      <c r="PON13" s="319"/>
      <c r="POO13" s="319"/>
      <c r="POP13" s="319"/>
      <c r="POQ13" s="319"/>
      <c r="POR13" s="319"/>
      <c r="POS13" s="319"/>
      <c r="POT13" s="319"/>
      <c r="POU13" s="319"/>
      <c r="POV13" s="319"/>
      <c r="POW13" s="319"/>
      <c r="POX13" s="319"/>
      <c r="POY13" s="319"/>
      <c r="POZ13" s="319"/>
      <c r="PPA13" s="319"/>
      <c r="PPB13" s="319"/>
      <c r="PPC13" s="319"/>
      <c r="PPD13" s="319"/>
      <c r="PPE13" s="319"/>
      <c r="PPF13" s="319"/>
      <c r="PPG13" s="319"/>
      <c r="PPH13" s="319"/>
      <c r="PPI13" s="319"/>
      <c r="PPJ13" s="319"/>
      <c r="PPK13" s="319"/>
      <c r="PPL13" s="319"/>
      <c r="PPM13" s="319"/>
      <c r="PPN13" s="319"/>
      <c r="PPO13" s="319"/>
      <c r="PPP13" s="319"/>
      <c r="PPQ13" s="319"/>
      <c r="PPR13" s="319"/>
      <c r="PPS13" s="319"/>
      <c r="PPT13" s="319"/>
      <c r="PPU13" s="319"/>
      <c r="PPV13" s="319"/>
      <c r="PPW13" s="319"/>
      <c r="PPX13" s="319"/>
      <c r="PPY13" s="319"/>
      <c r="PPZ13" s="319"/>
      <c r="PQA13" s="319"/>
      <c r="PQB13" s="319"/>
      <c r="PQC13" s="319"/>
      <c r="PQD13" s="319"/>
      <c r="PQE13" s="319"/>
      <c r="PQF13" s="319"/>
      <c r="PQG13" s="319"/>
      <c r="PQH13" s="319"/>
      <c r="PQI13" s="319"/>
      <c r="PQJ13" s="319"/>
      <c r="PQK13" s="319"/>
      <c r="PQL13" s="319"/>
      <c r="PQM13" s="319"/>
      <c r="PQN13" s="319"/>
      <c r="PQO13" s="319"/>
      <c r="PQP13" s="319"/>
      <c r="PQQ13" s="319"/>
      <c r="PQR13" s="319"/>
      <c r="PQS13" s="319"/>
      <c r="PQT13" s="319"/>
      <c r="PQU13" s="319"/>
      <c r="PQV13" s="319"/>
      <c r="PQW13" s="319"/>
      <c r="PQX13" s="319"/>
      <c r="PQY13" s="319"/>
      <c r="PQZ13" s="319"/>
      <c r="PRA13" s="319"/>
      <c r="PRB13" s="319"/>
      <c r="PRC13" s="319"/>
      <c r="PRD13" s="319"/>
      <c r="PRE13" s="319"/>
      <c r="PRF13" s="319"/>
      <c r="PRG13" s="319"/>
      <c r="PRH13" s="319"/>
      <c r="PRI13" s="319"/>
      <c r="PRJ13" s="319"/>
      <c r="PRK13" s="319"/>
      <c r="PRL13" s="319"/>
      <c r="PRM13" s="319"/>
      <c r="PRN13" s="319"/>
      <c r="PRO13" s="319"/>
      <c r="PRP13" s="319"/>
      <c r="PRQ13" s="319"/>
      <c r="PRR13" s="319"/>
      <c r="PRS13" s="319"/>
      <c r="PRT13" s="319"/>
      <c r="PRU13" s="319"/>
      <c r="PRV13" s="319"/>
      <c r="PRW13" s="319"/>
      <c r="PRX13" s="319"/>
      <c r="PRY13" s="319"/>
      <c r="PRZ13" s="319"/>
      <c r="PSA13" s="319"/>
      <c r="PSB13" s="319"/>
      <c r="PSC13" s="319"/>
      <c r="PSD13" s="319"/>
      <c r="PSE13" s="319"/>
      <c r="PSF13" s="319"/>
      <c r="PSG13" s="319"/>
      <c r="PSH13" s="319"/>
      <c r="PSI13" s="319"/>
      <c r="PSJ13" s="319"/>
      <c r="PSK13" s="319"/>
      <c r="PSL13" s="319"/>
      <c r="PSM13" s="319"/>
      <c r="PSN13" s="319"/>
      <c r="PSO13" s="319"/>
      <c r="PSP13" s="319"/>
      <c r="PSQ13" s="319"/>
      <c r="PSR13" s="319"/>
      <c r="PSS13" s="319"/>
      <c r="PST13" s="319"/>
      <c r="PSU13" s="319"/>
      <c r="PSV13" s="319"/>
      <c r="PSW13" s="319"/>
      <c r="PSX13" s="319"/>
      <c r="PSY13" s="319"/>
      <c r="PSZ13" s="319"/>
      <c r="PTA13" s="319"/>
      <c r="PTB13" s="319"/>
      <c r="PTC13" s="319"/>
      <c r="PTD13" s="319"/>
      <c r="PTE13" s="319"/>
      <c r="PTF13" s="319"/>
      <c r="PTG13" s="319"/>
      <c r="PTH13" s="319"/>
      <c r="PTI13" s="319"/>
      <c r="PTJ13" s="319"/>
      <c r="PTK13" s="319"/>
      <c r="PTL13" s="319"/>
      <c r="PTM13" s="319"/>
      <c r="PTN13" s="319"/>
      <c r="PTO13" s="319"/>
      <c r="PTP13" s="319"/>
      <c r="PTQ13" s="319"/>
      <c r="PTR13" s="319"/>
      <c r="PTS13" s="319"/>
      <c r="PTT13" s="319"/>
      <c r="PTU13" s="319"/>
      <c r="PTV13" s="319"/>
      <c r="PTW13" s="319"/>
      <c r="PTX13" s="319"/>
      <c r="PTY13" s="319"/>
      <c r="PTZ13" s="319"/>
      <c r="PUA13" s="319"/>
      <c r="PUB13" s="319"/>
      <c r="PUC13" s="319"/>
      <c r="PUD13" s="319"/>
      <c r="PUE13" s="319"/>
      <c r="PUF13" s="319"/>
      <c r="PUG13" s="319"/>
      <c r="PUH13" s="319"/>
      <c r="PUI13" s="319"/>
      <c r="PUJ13" s="319"/>
      <c r="PUK13" s="319"/>
      <c r="PUL13" s="319"/>
      <c r="PUM13" s="319"/>
      <c r="PUN13" s="319"/>
      <c r="PUO13" s="319"/>
      <c r="PUP13" s="319"/>
      <c r="PUQ13" s="319"/>
      <c r="PUR13" s="319"/>
      <c r="PUS13" s="319"/>
      <c r="PUT13" s="319"/>
      <c r="PUU13" s="319"/>
      <c r="PUV13" s="319"/>
      <c r="PUW13" s="319"/>
      <c r="PUX13" s="319"/>
      <c r="PUY13" s="319"/>
      <c r="PUZ13" s="319"/>
      <c r="PVA13" s="319"/>
      <c r="PVB13" s="319"/>
      <c r="PVC13" s="319"/>
      <c r="PVD13" s="319"/>
      <c r="PVE13" s="319"/>
      <c r="PVF13" s="319"/>
      <c r="PVG13" s="319"/>
      <c r="PVH13" s="319"/>
      <c r="PVI13" s="319"/>
      <c r="PVJ13" s="319"/>
      <c r="PVK13" s="319"/>
      <c r="PVL13" s="319"/>
      <c r="PVM13" s="319"/>
      <c r="PVN13" s="319"/>
      <c r="PVO13" s="319"/>
      <c r="PVP13" s="319"/>
      <c r="PVQ13" s="319"/>
      <c r="PVR13" s="319"/>
      <c r="PVS13" s="319"/>
      <c r="PVT13" s="319"/>
      <c r="PVU13" s="319"/>
      <c r="PVV13" s="319"/>
      <c r="PVW13" s="319"/>
      <c r="PVX13" s="319"/>
      <c r="PVY13" s="319"/>
      <c r="PVZ13" s="319"/>
      <c r="PWA13" s="319"/>
      <c r="PWB13" s="319"/>
      <c r="PWC13" s="319"/>
      <c r="PWD13" s="319"/>
      <c r="PWE13" s="319"/>
      <c r="PWF13" s="319"/>
      <c r="PWG13" s="319"/>
      <c r="PWH13" s="319"/>
      <c r="PWI13" s="319"/>
      <c r="PWJ13" s="319"/>
      <c r="PWK13" s="319"/>
      <c r="PWL13" s="319"/>
      <c r="PWM13" s="319"/>
      <c r="PWN13" s="319"/>
      <c r="PWO13" s="319"/>
      <c r="PWP13" s="319"/>
      <c r="PWQ13" s="319"/>
      <c r="PWR13" s="319"/>
      <c r="PWS13" s="319"/>
      <c r="PWT13" s="319"/>
      <c r="PWU13" s="319"/>
      <c r="PWV13" s="319"/>
      <c r="PWW13" s="319"/>
      <c r="PWX13" s="319"/>
      <c r="PWY13" s="319"/>
      <c r="PWZ13" s="319"/>
      <c r="PXA13" s="319"/>
      <c r="PXB13" s="319"/>
      <c r="PXC13" s="319"/>
      <c r="PXD13" s="319"/>
      <c r="PXE13" s="319"/>
      <c r="PXF13" s="319"/>
      <c r="PXG13" s="319"/>
      <c r="PXH13" s="319"/>
      <c r="PXI13" s="319"/>
      <c r="PXJ13" s="319"/>
      <c r="PXK13" s="319"/>
      <c r="PXL13" s="319"/>
      <c r="PXM13" s="319"/>
      <c r="PXN13" s="319"/>
      <c r="PXO13" s="319"/>
      <c r="PXP13" s="319"/>
      <c r="PXQ13" s="319"/>
      <c r="PXR13" s="319"/>
      <c r="PXS13" s="319"/>
      <c r="PXT13" s="319"/>
      <c r="PXU13" s="319"/>
      <c r="PXV13" s="319"/>
      <c r="PXW13" s="319"/>
      <c r="PXX13" s="319"/>
      <c r="PXY13" s="319"/>
      <c r="PXZ13" s="319"/>
      <c r="PYA13" s="319"/>
      <c r="PYB13" s="319"/>
      <c r="PYC13" s="319"/>
      <c r="PYD13" s="319"/>
      <c r="PYE13" s="319"/>
      <c r="PYF13" s="319"/>
      <c r="PYG13" s="319"/>
      <c r="PYH13" s="319"/>
      <c r="PYI13" s="319"/>
      <c r="PYJ13" s="319"/>
      <c r="PYK13" s="319"/>
      <c r="PYL13" s="319"/>
      <c r="PYM13" s="319"/>
      <c r="PYN13" s="319"/>
      <c r="PYO13" s="319"/>
      <c r="PYP13" s="319"/>
      <c r="PYQ13" s="319"/>
      <c r="PYR13" s="319"/>
      <c r="PYS13" s="319"/>
      <c r="PYT13" s="319"/>
      <c r="PYU13" s="319"/>
      <c r="PYV13" s="319"/>
      <c r="PYW13" s="319"/>
      <c r="PYX13" s="319"/>
      <c r="PYY13" s="319"/>
      <c r="PYZ13" s="319"/>
      <c r="PZA13" s="319"/>
      <c r="PZB13" s="319"/>
      <c r="PZC13" s="319"/>
      <c r="PZD13" s="319"/>
      <c r="PZE13" s="319"/>
      <c r="PZF13" s="319"/>
      <c r="PZG13" s="319"/>
      <c r="PZH13" s="319"/>
      <c r="PZI13" s="319"/>
      <c r="PZJ13" s="319"/>
      <c r="PZK13" s="319"/>
      <c r="PZL13" s="319"/>
      <c r="PZM13" s="319"/>
      <c r="PZN13" s="319"/>
      <c r="PZO13" s="319"/>
      <c r="PZP13" s="319"/>
      <c r="PZQ13" s="319"/>
      <c r="PZR13" s="319"/>
      <c r="PZS13" s="319"/>
      <c r="PZT13" s="319"/>
      <c r="PZU13" s="319"/>
      <c r="PZV13" s="319"/>
      <c r="PZW13" s="319"/>
      <c r="PZX13" s="319"/>
      <c r="PZY13" s="319"/>
      <c r="PZZ13" s="319"/>
      <c r="QAA13" s="319"/>
      <c r="QAB13" s="319"/>
      <c r="QAC13" s="319"/>
      <c r="QAD13" s="319"/>
      <c r="QAE13" s="319"/>
      <c r="QAF13" s="319"/>
      <c r="QAG13" s="319"/>
      <c r="QAH13" s="319"/>
      <c r="QAI13" s="319"/>
      <c r="QAJ13" s="319"/>
      <c r="QAK13" s="319"/>
      <c r="QAL13" s="319"/>
      <c r="QAM13" s="319"/>
      <c r="QAN13" s="319"/>
      <c r="QAO13" s="319"/>
      <c r="QAP13" s="319"/>
      <c r="QAQ13" s="319"/>
      <c r="QAR13" s="319"/>
      <c r="QAS13" s="319"/>
      <c r="QAT13" s="319"/>
      <c r="QAU13" s="319"/>
      <c r="QAV13" s="319"/>
      <c r="QAW13" s="319"/>
      <c r="QAX13" s="319"/>
      <c r="QAY13" s="319"/>
      <c r="QAZ13" s="319"/>
      <c r="QBA13" s="319"/>
      <c r="QBB13" s="319"/>
      <c r="QBC13" s="319"/>
      <c r="QBD13" s="319"/>
      <c r="QBE13" s="319"/>
      <c r="QBF13" s="319"/>
      <c r="QBG13" s="319"/>
      <c r="QBH13" s="319"/>
      <c r="QBI13" s="319"/>
      <c r="QBJ13" s="319"/>
      <c r="QBK13" s="319"/>
      <c r="QBL13" s="319"/>
      <c r="QBM13" s="319"/>
      <c r="QBN13" s="319"/>
      <c r="QBO13" s="319"/>
      <c r="QBP13" s="319"/>
      <c r="QBQ13" s="319"/>
      <c r="QBR13" s="319"/>
      <c r="QBS13" s="319"/>
      <c r="QBT13" s="319"/>
      <c r="QBU13" s="319"/>
      <c r="QBV13" s="319"/>
      <c r="QBW13" s="319"/>
      <c r="QBX13" s="319"/>
      <c r="QBY13" s="319"/>
      <c r="QBZ13" s="319"/>
      <c r="QCA13" s="319"/>
      <c r="QCB13" s="319"/>
      <c r="QCC13" s="319"/>
      <c r="QCD13" s="319"/>
      <c r="QCE13" s="319"/>
      <c r="QCF13" s="319"/>
      <c r="QCG13" s="319"/>
      <c r="QCH13" s="319"/>
      <c r="QCI13" s="319"/>
      <c r="QCJ13" s="319"/>
      <c r="QCK13" s="319"/>
      <c r="QCL13" s="319"/>
      <c r="QCM13" s="319"/>
      <c r="QCN13" s="319"/>
      <c r="QCO13" s="319"/>
      <c r="QCP13" s="319"/>
      <c r="QCQ13" s="319"/>
      <c r="QCR13" s="319"/>
      <c r="QCS13" s="319"/>
      <c r="QCT13" s="319"/>
      <c r="QCU13" s="319"/>
      <c r="QCV13" s="319"/>
      <c r="QCW13" s="319"/>
      <c r="QCX13" s="319"/>
      <c r="QCY13" s="319"/>
      <c r="QCZ13" s="319"/>
      <c r="QDA13" s="319"/>
      <c r="QDB13" s="319"/>
      <c r="QDC13" s="319"/>
      <c r="QDD13" s="319"/>
      <c r="QDE13" s="319"/>
      <c r="QDF13" s="319"/>
      <c r="QDG13" s="319"/>
      <c r="QDH13" s="319"/>
      <c r="QDI13" s="319"/>
      <c r="QDJ13" s="319"/>
      <c r="QDK13" s="319"/>
      <c r="QDL13" s="319"/>
      <c r="QDM13" s="319"/>
      <c r="QDN13" s="319"/>
      <c r="QDO13" s="319"/>
      <c r="QDP13" s="319"/>
      <c r="QDQ13" s="319"/>
      <c r="QDR13" s="319"/>
      <c r="QDS13" s="319"/>
      <c r="QDT13" s="319"/>
      <c r="QDU13" s="319"/>
      <c r="QDV13" s="319"/>
      <c r="QDW13" s="319"/>
      <c r="QDX13" s="319"/>
      <c r="QDY13" s="319"/>
      <c r="QDZ13" s="319"/>
      <c r="QEA13" s="319"/>
      <c r="QEB13" s="319"/>
      <c r="QEC13" s="319"/>
      <c r="QED13" s="319"/>
      <c r="QEE13" s="319"/>
      <c r="QEF13" s="319"/>
      <c r="QEG13" s="319"/>
      <c r="QEH13" s="319"/>
      <c r="QEI13" s="319"/>
      <c r="QEJ13" s="319"/>
      <c r="QEK13" s="319"/>
      <c r="QEL13" s="319"/>
      <c r="QEM13" s="319"/>
      <c r="QEN13" s="319"/>
      <c r="QEO13" s="319"/>
      <c r="QEP13" s="319"/>
      <c r="QEQ13" s="319"/>
      <c r="QER13" s="319"/>
      <c r="QES13" s="319"/>
      <c r="QET13" s="319"/>
      <c r="QEU13" s="319"/>
      <c r="QEV13" s="319"/>
      <c r="QEW13" s="319"/>
      <c r="QEX13" s="319"/>
      <c r="QEY13" s="319"/>
      <c r="QEZ13" s="319"/>
      <c r="QFA13" s="319"/>
      <c r="QFB13" s="319"/>
      <c r="QFC13" s="319"/>
      <c r="QFD13" s="319"/>
      <c r="QFE13" s="319"/>
      <c r="QFF13" s="319"/>
      <c r="QFG13" s="319"/>
      <c r="QFH13" s="319"/>
      <c r="QFI13" s="319"/>
      <c r="QFJ13" s="319"/>
      <c r="QFK13" s="319"/>
      <c r="QFL13" s="319"/>
      <c r="QFM13" s="319"/>
      <c r="QFN13" s="319"/>
      <c r="QFO13" s="319"/>
      <c r="QFP13" s="319"/>
      <c r="QFQ13" s="319"/>
      <c r="QFR13" s="319"/>
      <c r="QFS13" s="319"/>
      <c r="QFT13" s="319"/>
      <c r="QFU13" s="319"/>
      <c r="QFV13" s="319"/>
      <c r="QFW13" s="319"/>
      <c r="QFX13" s="319"/>
      <c r="QFY13" s="319"/>
      <c r="QFZ13" s="319"/>
      <c r="QGA13" s="319"/>
      <c r="QGB13" s="319"/>
      <c r="QGC13" s="319"/>
      <c r="QGD13" s="319"/>
      <c r="QGE13" s="319"/>
      <c r="QGF13" s="319"/>
      <c r="QGG13" s="319"/>
      <c r="QGH13" s="319"/>
      <c r="QGI13" s="319"/>
      <c r="QGJ13" s="319"/>
      <c r="QGK13" s="319"/>
      <c r="QGL13" s="319"/>
      <c r="QGM13" s="319"/>
      <c r="QGN13" s="319"/>
      <c r="QGO13" s="319"/>
      <c r="QGP13" s="319"/>
      <c r="QGQ13" s="319"/>
      <c r="QGR13" s="319"/>
      <c r="QGS13" s="319"/>
      <c r="QGT13" s="319"/>
      <c r="QGU13" s="319"/>
      <c r="QGV13" s="319"/>
      <c r="QGW13" s="319"/>
      <c r="QGX13" s="319"/>
      <c r="QGY13" s="319"/>
      <c r="QGZ13" s="319"/>
      <c r="QHA13" s="319"/>
      <c r="QHB13" s="319"/>
      <c r="QHC13" s="319"/>
      <c r="QHD13" s="319"/>
      <c r="QHE13" s="319"/>
      <c r="QHF13" s="319"/>
      <c r="QHG13" s="319"/>
      <c r="QHH13" s="319"/>
      <c r="QHI13" s="319"/>
      <c r="QHJ13" s="319"/>
      <c r="QHK13" s="319"/>
      <c r="QHL13" s="319"/>
      <c r="QHM13" s="319"/>
      <c r="QHN13" s="319"/>
      <c r="QHO13" s="319"/>
      <c r="QHP13" s="319"/>
      <c r="QHQ13" s="319"/>
      <c r="QHR13" s="319"/>
      <c r="QHS13" s="319"/>
      <c r="QHT13" s="319"/>
      <c r="QHU13" s="319"/>
      <c r="QHV13" s="319"/>
      <c r="QHW13" s="319"/>
      <c r="QHX13" s="319"/>
      <c r="QHY13" s="319"/>
      <c r="QHZ13" s="319"/>
      <c r="QIA13" s="319"/>
      <c r="QIB13" s="319"/>
      <c r="QIC13" s="319"/>
      <c r="QID13" s="319"/>
      <c r="QIE13" s="319"/>
      <c r="QIF13" s="319"/>
      <c r="QIG13" s="319"/>
      <c r="QIH13" s="319"/>
      <c r="QII13" s="319"/>
      <c r="QIJ13" s="319"/>
      <c r="QIK13" s="319"/>
      <c r="QIL13" s="319"/>
      <c r="QIM13" s="319"/>
      <c r="QIN13" s="319"/>
      <c r="QIO13" s="319"/>
      <c r="QIP13" s="319"/>
      <c r="QIQ13" s="319"/>
      <c r="QIR13" s="319"/>
      <c r="QIS13" s="319"/>
      <c r="QIT13" s="319"/>
      <c r="QIU13" s="319"/>
      <c r="QIV13" s="319"/>
      <c r="QIW13" s="319"/>
      <c r="QIX13" s="319"/>
      <c r="QIY13" s="319"/>
      <c r="QIZ13" s="319"/>
      <c r="QJA13" s="319"/>
      <c r="QJB13" s="319"/>
      <c r="QJC13" s="319"/>
      <c r="QJD13" s="319"/>
      <c r="QJE13" s="319"/>
      <c r="QJF13" s="319"/>
      <c r="QJG13" s="319"/>
      <c r="QJH13" s="319"/>
      <c r="QJI13" s="319"/>
      <c r="QJJ13" s="319"/>
      <c r="QJK13" s="319"/>
      <c r="QJL13" s="319"/>
      <c r="QJM13" s="319"/>
      <c r="QJN13" s="319"/>
      <c r="QJO13" s="319"/>
      <c r="QJP13" s="319"/>
      <c r="QJQ13" s="319"/>
      <c r="QJR13" s="319"/>
      <c r="QJS13" s="319"/>
      <c r="QJT13" s="319"/>
      <c r="QJU13" s="319"/>
      <c r="QJV13" s="319"/>
      <c r="QJW13" s="319"/>
      <c r="QJX13" s="319"/>
      <c r="QJY13" s="319"/>
      <c r="QJZ13" s="319"/>
      <c r="QKA13" s="319"/>
      <c r="QKB13" s="319"/>
      <c r="QKC13" s="319"/>
      <c r="QKD13" s="319"/>
      <c r="QKE13" s="319"/>
      <c r="QKF13" s="319"/>
      <c r="QKG13" s="319"/>
      <c r="QKH13" s="319"/>
      <c r="QKI13" s="319"/>
      <c r="QKJ13" s="319"/>
      <c r="QKK13" s="319"/>
      <c r="QKL13" s="319"/>
      <c r="QKM13" s="319"/>
      <c r="QKN13" s="319"/>
      <c r="QKO13" s="319"/>
      <c r="QKP13" s="319"/>
      <c r="QKQ13" s="319"/>
      <c r="QKR13" s="319"/>
      <c r="QKS13" s="319"/>
      <c r="QKT13" s="319"/>
      <c r="QKU13" s="319"/>
      <c r="QKV13" s="319"/>
      <c r="QKW13" s="319"/>
      <c r="QKX13" s="319"/>
      <c r="QKY13" s="319"/>
      <c r="QKZ13" s="319"/>
      <c r="QLA13" s="319"/>
      <c r="QLB13" s="319"/>
      <c r="QLC13" s="319"/>
      <c r="QLD13" s="319"/>
      <c r="QLE13" s="319"/>
      <c r="QLF13" s="319"/>
      <c r="QLG13" s="319"/>
      <c r="QLH13" s="319"/>
      <c r="QLI13" s="319"/>
      <c r="QLJ13" s="319"/>
      <c r="QLK13" s="319"/>
      <c r="QLL13" s="319"/>
      <c r="QLM13" s="319"/>
      <c r="QLN13" s="319"/>
      <c r="QLO13" s="319"/>
      <c r="QLP13" s="319"/>
      <c r="QLQ13" s="319"/>
      <c r="QLR13" s="319"/>
      <c r="QLS13" s="319"/>
      <c r="QLT13" s="319"/>
      <c r="QLU13" s="319"/>
      <c r="QLV13" s="319"/>
      <c r="QLW13" s="319"/>
      <c r="QLX13" s="319"/>
      <c r="QLY13" s="319"/>
      <c r="QLZ13" s="319"/>
      <c r="QMA13" s="319"/>
      <c r="QMB13" s="319"/>
      <c r="QMC13" s="319"/>
      <c r="QMD13" s="319"/>
      <c r="QME13" s="319"/>
      <c r="QMF13" s="319"/>
      <c r="QMG13" s="319"/>
      <c r="QMH13" s="319"/>
      <c r="QMI13" s="319"/>
      <c r="QMJ13" s="319"/>
      <c r="QMK13" s="319"/>
      <c r="QML13" s="319"/>
      <c r="QMM13" s="319"/>
      <c r="QMN13" s="319"/>
      <c r="QMO13" s="319"/>
      <c r="QMP13" s="319"/>
      <c r="QMQ13" s="319"/>
      <c r="QMR13" s="319"/>
      <c r="QMS13" s="319"/>
      <c r="QMT13" s="319"/>
      <c r="QMU13" s="319"/>
      <c r="QMV13" s="319"/>
      <c r="QMW13" s="319"/>
      <c r="QMX13" s="319"/>
      <c r="QMY13" s="319"/>
      <c r="QMZ13" s="319"/>
      <c r="QNA13" s="319"/>
      <c r="QNB13" s="319"/>
      <c r="QNC13" s="319"/>
      <c r="QND13" s="319"/>
      <c r="QNE13" s="319"/>
      <c r="QNF13" s="319"/>
      <c r="QNG13" s="319"/>
      <c r="QNH13" s="319"/>
      <c r="QNI13" s="319"/>
      <c r="QNJ13" s="319"/>
      <c r="QNK13" s="319"/>
      <c r="QNL13" s="319"/>
      <c r="QNM13" s="319"/>
      <c r="QNN13" s="319"/>
      <c r="QNO13" s="319"/>
      <c r="QNP13" s="319"/>
      <c r="QNQ13" s="319"/>
      <c r="QNR13" s="319"/>
      <c r="QNS13" s="319"/>
      <c r="QNT13" s="319"/>
      <c r="QNU13" s="319"/>
      <c r="QNV13" s="319"/>
      <c r="QNW13" s="319"/>
      <c r="QNX13" s="319"/>
      <c r="QNY13" s="319"/>
      <c r="QNZ13" s="319"/>
      <c r="QOA13" s="319"/>
      <c r="QOB13" s="319"/>
      <c r="QOC13" s="319"/>
      <c r="QOD13" s="319"/>
      <c r="QOE13" s="319"/>
      <c r="QOF13" s="319"/>
      <c r="QOG13" s="319"/>
      <c r="QOH13" s="319"/>
      <c r="QOI13" s="319"/>
      <c r="QOJ13" s="319"/>
      <c r="QOK13" s="319"/>
      <c r="QOL13" s="319"/>
      <c r="QOM13" s="319"/>
      <c r="QON13" s="319"/>
      <c r="QOO13" s="319"/>
      <c r="QOP13" s="319"/>
      <c r="QOQ13" s="319"/>
      <c r="QOR13" s="319"/>
      <c r="QOS13" s="319"/>
      <c r="QOT13" s="319"/>
      <c r="QOU13" s="319"/>
      <c r="QOV13" s="319"/>
      <c r="QOW13" s="319"/>
      <c r="QOX13" s="319"/>
      <c r="QOY13" s="319"/>
      <c r="QOZ13" s="319"/>
      <c r="QPA13" s="319"/>
      <c r="QPB13" s="319"/>
      <c r="QPC13" s="319"/>
      <c r="QPD13" s="319"/>
      <c r="QPE13" s="319"/>
      <c r="QPF13" s="319"/>
      <c r="QPG13" s="319"/>
      <c r="QPH13" s="319"/>
      <c r="QPI13" s="319"/>
      <c r="QPJ13" s="319"/>
      <c r="QPK13" s="319"/>
      <c r="QPL13" s="319"/>
      <c r="QPM13" s="319"/>
      <c r="QPN13" s="319"/>
      <c r="QPO13" s="319"/>
      <c r="QPP13" s="319"/>
      <c r="QPQ13" s="319"/>
      <c r="QPR13" s="319"/>
      <c r="QPS13" s="319"/>
      <c r="QPT13" s="319"/>
      <c r="QPU13" s="319"/>
      <c r="QPV13" s="319"/>
      <c r="QPW13" s="319"/>
      <c r="QPX13" s="319"/>
      <c r="QPY13" s="319"/>
      <c r="QPZ13" s="319"/>
      <c r="QQA13" s="319"/>
      <c r="QQB13" s="319"/>
      <c r="QQC13" s="319"/>
      <c r="QQD13" s="319"/>
      <c r="QQE13" s="319"/>
      <c r="QQF13" s="319"/>
      <c r="QQG13" s="319"/>
      <c r="QQH13" s="319"/>
      <c r="QQI13" s="319"/>
      <c r="QQJ13" s="319"/>
      <c r="QQK13" s="319"/>
      <c r="QQL13" s="319"/>
      <c r="QQM13" s="319"/>
      <c r="QQN13" s="319"/>
      <c r="QQO13" s="319"/>
      <c r="QQP13" s="319"/>
      <c r="QQQ13" s="319"/>
      <c r="QQR13" s="319"/>
      <c r="QQS13" s="319"/>
      <c r="QQT13" s="319"/>
      <c r="QQU13" s="319"/>
      <c r="QQV13" s="319"/>
      <c r="QQW13" s="319"/>
      <c r="QQX13" s="319"/>
      <c r="QQY13" s="319"/>
      <c r="QQZ13" s="319"/>
      <c r="QRA13" s="319"/>
      <c r="QRB13" s="319"/>
      <c r="QRC13" s="319"/>
      <c r="QRD13" s="319"/>
      <c r="QRE13" s="319"/>
      <c r="QRF13" s="319"/>
      <c r="QRG13" s="319"/>
      <c r="QRH13" s="319"/>
      <c r="QRI13" s="319"/>
      <c r="QRJ13" s="319"/>
      <c r="QRK13" s="319"/>
      <c r="QRL13" s="319"/>
      <c r="QRM13" s="319"/>
      <c r="QRN13" s="319"/>
      <c r="QRO13" s="319"/>
      <c r="QRP13" s="319"/>
      <c r="QRQ13" s="319"/>
      <c r="QRR13" s="319"/>
      <c r="QRS13" s="319"/>
      <c r="QRT13" s="319"/>
      <c r="QRU13" s="319"/>
      <c r="QRV13" s="319"/>
      <c r="QRW13" s="319"/>
      <c r="QRX13" s="319"/>
      <c r="QRY13" s="319"/>
      <c r="QRZ13" s="319"/>
      <c r="QSA13" s="319"/>
      <c r="QSB13" s="319"/>
      <c r="QSC13" s="319"/>
      <c r="QSD13" s="319"/>
      <c r="QSE13" s="319"/>
      <c r="QSF13" s="319"/>
      <c r="QSG13" s="319"/>
      <c r="QSH13" s="319"/>
      <c r="QSI13" s="319"/>
      <c r="QSJ13" s="319"/>
      <c r="QSK13" s="319"/>
      <c r="QSL13" s="319"/>
      <c r="QSM13" s="319"/>
      <c r="QSN13" s="319"/>
      <c r="QSO13" s="319"/>
      <c r="QSP13" s="319"/>
      <c r="QSQ13" s="319"/>
      <c r="QSR13" s="319"/>
      <c r="QSS13" s="319"/>
      <c r="QST13" s="319"/>
      <c r="QSU13" s="319"/>
      <c r="QSV13" s="319"/>
      <c r="QSW13" s="319"/>
      <c r="QSX13" s="319"/>
      <c r="QSY13" s="319"/>
      <c r="QSZ13" s="319"/>
      <c r="QTA13" s="319"/>
      <c r="QTB13" s="319"/>
      <c r="QTC13" s="319"/>
      <c r="QTD13" s="319"/>
      <c r="QTE13" s="319"/>
      <c r="QTF13" s="319"/>
      <c r="QTG13" s="319"/>
      <c r="QTH13" s="319"/>
      <c r="QTI13" s="319"/>
      <c r="QTJ13" s="319"/>
      <c r="QTK13" s="319"/>
      <c r="QTL13" s="319"/>
      <c r="QTM13" s="319"/>
      <c r="QTN13" s="319"/>
      <c r="QTO13" s="319"/>
      <c r="QTP13" s="319"/>
      <c r="QTQ13" s="319"/>
      <c r="QTR13" s="319"/>
      <c r="QTS13" s="319"/>
      <c r="QTT13" s="319"/>
      <c r="QTU13" s="319"/>
      <c r="QTV13" s="319"/>
      <c r="QTW13" s="319"/>
      <c r="QTX13" s="319"/>
      <c r="QTY13" s="319"/>
      <c r="QTZ13" s="319"/>
      <c r="QUA13" s="319"/>
      <c r="QUB13" s="319"/>
      <c r="QUC13" s="319"/>
      <c r="QUD13" s="319"/>
      <c r="QUE13" s="319"/>
      <c r="QUF13" s="319"/>
      <c r="QUG13" s="319"/>
      <c r="QUH13" s="319"/>
      <c r="QUI13" s="319"/>
      <c r="QUJ13" s="319"/>
      <c r="QUK13" s="319"/>
      <c r="QUL13" s="319"/>
      <c r="QUM13" s="319"/>
      <c r="QUN13" s="319"/>
      <c r="QUO13" s="319"/>
      <c r="QUP13" s="319"/>
      <c r="QUQ13" s="319"/>
      <c r="QUR13" s="319"/>
      <c r="QUS13" s="319"/>
      <c r="QUT13" s="319"/>
      <c r="QUU13" s="319"/>
      <c r="QUV13" s="319"/>
      <c r="QUW13" s="319"/>
      <c r="QUX13" s="319"/>
      <c r="QUY13" s="319"/>
      <c r="QUZ13" s="319"/>
      <c r="QVA13" s="319"/>
      <c r="QVB13" s="319"/>
      <c r="QVC13" s="319"/>
      <c r="QVD13" s="319"/>
      <c r="QVE13" s="319"/>
      <c r="QVF13" s="319"/>
      <c r="QVG13" s="319"/>
      <c r="QVH13" s="319"/>
      <c r="QVI13" s="319"/>
      <c r="QVJ13" s="319"/>
      <c r="QVK13" s="319"/>
      <c r="QVL13" s="319"/>
      <c r="QVM13" s="319"/>
      <c r="QVN13" s="319"/>
      <c r="QVO13" s="319"/>
      <c r="QVP13" s="319"/>
      <c r="QVQ13" s="319"/>
      <c r="QVR13" s="319"/>
      <c r="QVS13" s="319"/>
      <c r="QVT13" s="319"/>
      <c r="QVU13" s="319"/>
      <c r="QVV13" s="319"/>
      <c r="QVW13" s="319"/>
      <c r="QVX13" s="319"/>
      <c r="QVY13" s="319"/>
      <c r="QVZ13" s="319"/>
      <c r="QWA13" s="319"/>
      <c r="QWB13" s="319"/>
      <c r="QWC13" s="319"/>
      <c r="QWD13" s="319"/>
      <c r="QWE13" s="319"/>
      <c r="QWF13" s="319"/>
      <c r="QWG13" s="319"/>
      <c r="QWH13" s="319"/>
      <c r="QWI13" s="319"/>
      <c r="QWJ13" s="319"/>
      <c r="QWK13" s="319"/>
      <c r="QWL13" s="319"/>
      <c r="QWM13" s="319"/>
      <c r="QWN13" s="319"/>
      <c r="QWO13" s="319"/>
      <c r="QWP13" s="319"/>
      <c r="QWQ13" s="319"/>
      <c r="QWR13" s="319"/>
      <c r="QWS13" s="319"/>
      <c r="QWT13" s="319"/>
      <c r="QWU13" s="319"/>
      <c r="QWV13" s="319"/>
      <c r="QWW13" s="319"/>
      <c r="QWX13" s="319"/>
      <c r="QWY13" s="319"/>
      <c r="QWZ13" s="319"/>
      <c r="QXA13" s="319"/>
      <c r="QXB13" s="319"/>
      <c r="QXC13" s="319"/>
      <c r="QXD13" s="319"/>
      <c r="QXE13" s="319"/>
      <c r="QXF13" s="319"/>
      <c r="QXG13" s="319"/>
      <c r="QXH13" s="319"/>
      <c r="QXI13" s="319"/>
      <c r="QXJ13" s="319"/>
      <c r="QXK13" s="319"/>
      <c r="QXL13" s="319"/>
      <c r="QXM13" s="319"/>
      <c r="QXN13" s="319"/>
      <c r="QXO13" s="319"/>
      <c r="QXP13" s="319"/>
      <c r="QXQ13" s="319"/>
      <c r="QXR13" s="319"/>
      <c r="QXS13" s="319"/>
      <c r="QXT13" s="319"/>
      <c r="QXU13" s="319"/>
      <c r="QXV13" s="319"/>
      <c r="QXW13" s="319"/>
      <c r="QXX13" s="319"/>
      <c r="QXY13" s="319"/>
      <c r="QXZ13" s="319"/>
      <c r="QYA13" s="319"/>
      <c r="QYB13" s="319"/>
      <c r="QYC13" s="319"/>
      <c r="QYD13" s="319"/>
      <c r="QYE13" s="319"/>
      <c r="QYF13" s="319"/>
      <c r="QYG13" s="319"/>
      <c r="QYH13" s="319"/>
      <c r="QYI13" s="319"/>
      <c r="QYJ13" s="319"/>
      <c r="QYK13" s="319"/>
      <c r="QYL13" s="319"/>
      <c r="QYM13" s="319"/>
      <c r="QYN13" s="319"/>
      <c r="QYO13" s="319"/>
      <c r="QYP13" s="319"/>
      <c r="QYQ13" s="319"/>
      <c r="QYR13" s="319"/>
      <c r="QYS13" s="319"/>
      <c r="QYT13" s="319"/>
      <c r="QYU13" s="319"/>
      <c r="QYV13" s="319"/>
      <c r="QYW13" s="319"/>
      <c r="QYX13" s="319"/>
      <c r="QYY13" s="319"/>
      <c r="QYZ13" s="319"/>
      <c r="QZA13" s="319"/>
      <c r="QZB13" s="319"/>
      <c r="QZC13" s="319"/>
      <c r="QZD13" s="319"/>
      <c r="QZE13" s="319"/>
      <c r="QZF13" s="319"/>
      <c r="QZG13" s="319"/>
      <c r="QZH13" s="319"/>
      <c r="QZI13" s="319"/>
      <c r="QZJ13" s="319"/>
      <c r="QZK13" s="319"/>
      <c r="QZL13" s="319"/>
      <c r="QZM13" s="319"/>
      <c r="QZN13" s="319"/>
      <c r="QZO13" s="319"/>
      <c r="QZP13" s="319"/>
      <c r="QZQ13" s="319"/>
      <c r="QZR13" s="319"/>
      <c r="QZS13" s="319"/>
      <c r="QZT13" s="319"/>
      <c r="QZU13" s="319"/>
      <c r="QZV13" s="319"/>
      <c r="QZW13" s="319"/>
      <c r="QZX13" s="319"/>
      <c r="QZY13" s="319"/>
      <c r="QZZ13" s="319"/>
      <c r="RAA13" s="319"/>
      <c r="RAB13" s="319"/>
      <c r="RAC13" s="319"/>
      <c r="RAD13" s="319"/>
      <c r="RAE13" s="319"/>
      <c r="RAF13" s="319"/>
      <c r="RAG13" s="319"/>
      <c r="RAH13" s="319"/>
      <c r="RAI13" s="319"/>
      <c r="RAJ13" s="319"/>
      <c r="RAK13" s="319"/>
      <c r="RAL13" s="319"/>
      <c r="RAM13" s="319"/>
      <c r="RAN13" s="319"/>
      <c r="RAO13" s="319"/>
      <c r="RAP13" s="319"/>
      <c r="RAQ13" s="319"/>
      <c r="RAR13" s="319"/>
      <c r="RAS13" s="319"/>
      <c r="RAT13" s="319"/>
      <c r="RAU13" s="319"/>
      <c r="RAV13" s="319"/>
      <c r="RAW13" s="319"/>
      <c r="RAX13" s="319"/>
      <c r="RAY13" s="319"/>
      <c r="RAZ13" s="319"/>
      <c r="RBA13" s="319"/>
      <c r="RBB13" s="319"/>
      <c r="RBC13" s="319"/>
      <c r="RBD13" s="319"/>
      <c r="RBE13" s="319"/>
      <c r="RBF13" s="319"/>
      <c r="RBG13" s="319"/>
      <c r="RBH13" s="319"/>
      <c r="RBI13" s="319"/>
      <c r="RBJ13" s="319"/>
      <c r="RBK13" s="319"/>
      <c r="RBL13" s="319"/>
      <c r="RBM13" s="319"/>
      <c r="RBN13" s="319"/>
      <c r="RBO13" s="319"/>
      <c r="RBP13" s="319"/>
      <c r="RBQ13" s="319"/>
      <c r="RBR13" s="319"/>
      <c r="RBS13" s="319"/>
      <c r="RBT13" s="319"/>
      <c r="RBU13" s="319"/>
      <c r="RBV13" s="319"/>
      <c r="RBW13" s="319"/>
      <c r="RBX13" s="319"/>
      <c r="RBY13" s="319"/>
      <c r="RBZ13" s="319"/>
      <c r="RCA13" s="319"/>
      <c r="RCB13" s="319"/>
      <c r="RCC13" s="319"/>
      <c r="RCD13" s="319"/>
      <c r="RCE13" s="319"/>
      <c r="RCF13" s="319"/>
      <c r="RCG13" s="319"/>
      <c r="RCH13" s="319"/>
      <c r="RCI13" s="319"/>
      <c r="RCJ13" s="319"/>
      <c r="RCK13" s="319"/>
      <c r="RCL13" s="319"/>
      <c r="RCM13" s="319"/>
      <c r="RCN13" s="319"/>
      <c r="RCO13" s="319"/>
      <c r="RCP13" s="319"/>
      <c r="RCQ13" s="319"/>
      <c r="RCR13" s="319"/>
      <c r="RCS13" s="319"/>
      <c r="RCT13" s="319"/>
      <c r="RCU13" s="319"/>
      <c r="RCV13" s="319"/>
      <c r="RCW13" s="319"/>
      <c r="RCX13" s="319"/>
      <c r="RCY13" s="319"/>
      <c r="RCZ13" s="319"/>
      <c r="RDA13" s="319"/>
      <c r="RDB13" s="319"/>
      <c r="RDC13" s="319"/>
      <c r="RDD13" s="319"/>
      <c r="RDE13" s="319"/>
      <c r="RDF13" s="319"/>
      <c r="RDG13" s="319"/>
      <c r="RDH13" s="319"/>
      <c r="RDI13" s="319"/>
      <c r="RDJ13" s="319"/>
      <c r="RDK13" s="319"/>
      <c r="RDL13" s="319"/>
      <c r="RDM13" s="319"/>
      <c r="RDN13" s="319"/>
      <c r="RDO13" s="319"/>
      <c r="RDP13" s="319"/>
      <c r="RDQ13" s="319"/>
      <c r="RDR13" s="319"/>
      <c r="RDS13" s="319"/>
      <c r="RDT13" s="319"/>
      <c r="RDU13" s="319"/>
      <c r="RDV13" s="319"/>
      <c r="RDW13" s="319"/>
      <c r="RDX13" s="319"/>
      <c r="RDY13" s="319"/>
      <c r="RDZ13" s="319"/>
      <c r="REA13" s="319"/>
      <c r="REB13" s="319"/>
      <c r="REC13" s="319"/>
      <c r="RED13" s="319"/>
      <c r="REE13" s="319"/>
      <c r="REF13" s="319"/>
      <c r="REG13" s="319"/>
      <c r="REH13" s="319"/>
      <c r="REI13" s="319"/>
      <c r="REJ13" s="319"/>
      <c r="REK13" s="319"/>
      <c r="REL13" s="319"/>
      <c r="REM13" s="319"/>
      <c r="REN13" s="319"/>
      <c r="REO13" s="319"/>
      <c r="REP13" s="319"/>
      <c r="REQ13" s="319"/>
      <c r="RER13" s="319"/>
      <c r="RES13" s="319"/>
      <c r="RET13" s="319"/>
      <c r="REU13" s="319"/>
      <c r="REV13" s="319"/>
      <c r="REW13" s="319"/>
      <c r="REX13" s="319"/>
      <c r="REY13" s="319"/>
      <c r="REZ13" s="319"/>
      <c r="RFA13" s="319"/>
      <c r="RFB13" s="319"/>
      <c r="RFC13" s="319"/>
      <c r="RFD13" s="319"/>
      <c r="RFE13" s="319"/>
      <c r="RFF13" s="319"/>
      <c r="RFG13" s="319"/>
      <c r="RFH13" s="319"/>
      <c r="RFI13" s="319"/>
      <c r="RFJ13" s="319"/>
      <c r="RFK13" s="319"/>
      <c r="RFL13" s="319"/>
      <c r="RFM13" s="319"/>
      <c r="RFN13" s="319"/>
      <c r="RFO13" s="319"/>
      <c r="RFP13" s="319"/>
      <c r="RFQ13" s="319"/>
      <c r="RFR13" s="319"/>
      <c r="RFS13" s="319"/>
      <c r="RFT13" s="319"/>
      <c r="RFU13" s="319"/>
      <c r="RFV13" s="319"/>
      <c r="RFW13" s="319"/>
      <c r="RFX13" s="319"/>
      <c r="RFY13" s="319"/>
      <c r="RFZ13" s="319"/>
      <c r="RGA13" s="319"/>
      <c r="RGB13" s="319"/>
      <c r="RGC13" s="319"/>
      <c r="RGD13" s="319"/>
      <c r="RGE13" s="319"/>
      <c r="RGF13" s="319"/>
      <c r="RGG13" s="319"/>
      <c r="RGH13" s="319"/>
      <c r="RGI13" s="319"/>
      <c r="RGJ13" s="319"/>
      <c r="RGK13" s="319"/>
      <c r="RGL13" s="319"/>
      <c r="RGM13" s="319"/>
      <c r="RGN13" s="319"/>
      <c r="RGO13" s="319"/>
      <c r="RGP13" s="319"/>
      <c r="RGQ13" s="319"/>
      <c r="RGR13" s="319"/>
      <c r="RGS13" s="319"/>
      <c r="RGT13" s="319"/>
      <c r="RGU13" s="319"/>
      <c r="RGV13" s="319"/>
      <c r="RGW13" s="319"/>
      <c r="RGX13" s="319"/>
      <c r="RGY13" s="319"/>
      <c r="RGZ13" s="319"/>
      <c r="RHA13" s="319"/>
      <c r="RHB13" s="319"/>
      <c r="RHC13" s="319"/>
      <c r="RHD13" s="319"/>
      <c r="RHE13" s="319"/>
      <c r="RHF13" s="319"/>
      <c r="RHG13" s="319"/>
      <c r="RHH13" s="319"/>
      <c r="RHI13" s="319"/>
      <c r="RHJ13" s="319"/>
      <c r="RHK13" s="319"/>
      <c r="RHL13" s="319"/>
      <c r="RHM13" s="319"/>
      <c r="RHN13" s="319"/>
      <c r="RHO13" s="319"/>
      <c r="RHP13" s="319"/>
      <c r="RHQ13" s="319"/>
      <c r="RHR13" s="319"/>
      <c r="RHS13" s="319"/>
      <c r="RHT13" s="319"/>
      <c r="RHU13" s="319"/>
      <c r="RHV13" s="319"/>
      <c r="RHW13" s="319"/>
      <c r="RHX13" s="319"/>
      <c r="RHY13" s="319"/>
      <c r="RHZ13" s="319"/>
      <c r="RIA13" s="319"/>
      <c r="RIB13" s="319"/>
      <c r="RIC13" s="319"/>
      <c r="RID13" s="319"/>
      <c r="RIE13" s="319"/>
      <c r="RIF13" s="319"/>
      <c r="RIG13" s="319"/>
      <c r="RIH13" s="319"/>
      <c r="RII13" s="319"/>
      <c r="RIJ13" s="319"/>
      <c r="RIK13" s="319"/>
      <c r="RIL13" s="319"/>
      <c r="RIM13" s="319"/>
      <c r="RIN13" s="319"/>
      <c r="RIO13" s="319"/>
      <c r="RIP13" s="319"/>
      <c r="RIQ13" s="319"/>
      <c r="RIR13" s="319"/>
      <c r="RIS13" s="319"/>
      <c r="RIT13" s="319"/>
      <c r="RIU13" s="319"/>
      <c r="RIV13" s="319"/>
      <c r="RIW13" s="319"/>
      <c r="RIX13" s="319"/>
      <c r="RIY13" s="319"/>
      <c r="RIZ13" s="319"/>
      <c r="RJA13" s="319"/>
      <c r="RJB13" s="319"/>
      <c r="RJC13" s="319"/>
      <c r="RJD13" s="319"/>
      <c r="RJE13" s="319"/>
      <c r="RJF13" s="319"/>
      <c r="RJG13" s="319"/>
      <c r="RJH13" s="319"/>
      <c r="RJI13" s="319"/>
      <c r="RJJ13" s="319"/>
      <c r="RJK13" s="319"/>
      <c r="RJL13" s="319"/>
      <c r="RJM13" s="319"/>
      <c r="RJN13" s="319"/>
      <c r="RJO13" s="319"/>
      <c r="RJP13" s="319"/>
      <c r="RJQ13" s="319"/>
      <c r="RJR13" s="319"/>
      <c r="RJS13" s="319"/>
      <c r="RJT13" s="319"/>
      <c r="RJU13" s="319"/>
      <c r="RJV13" s="319"/>
      <c r="RJW13" s="319"/>
      <c r="RJX13" s="319"/>
      <c r="RJY13" s="319"/>
      <c r="RJZ13" s="319"/>
      <c r="RKA13" s="319"/>
      <c r="RKB13" s="319"/>
      <c r="RKC13" s="319"/>
      <c r="RKD13" s="319"/>
      <c r="RKE13" s="319"/>
      <c r="RKF13" s="319"/>
      <c r="RKG13" s="319"/>
      <c r="RKH13" s="319"/>
      <c r="RKI13" s="319"/>
      <c r="RKJ13" s="319"/>
      <c r="RKK13" s="319"/>
      <c r="RKL13" s="319"/>
      <c r="RKM13" s="319"/>
      <c r="RKN13" s="319"/>
      <c r="RKO13" s="319"/>
      <c r="RKP13" s="319"/>
      <c r="RKQ13" s="319"/>
      <c r="RKR13" s="319"/>
      <c r="RKS13" s="319"/>
      <c r="RKT13" s="319"/>
      <c r="RKU13" s="319"/>
      <c r="RKV13" s="319"/>
      <c r="RKW13" s="319"/>
      <c r="RKX13" s="319"/>
      <c r="RKY13" s="319"/>
      <c r="RKZ13" s="319"/>
      <c r="RLA13" s="319"/>
      <c r="RLB13" s="319"/>
      <c r="RLC13" s="319"/>
      <c r="RLD13" s="319"/>
      <c r="RLE13" s="319"/>
      <c r="RLF13" s="319"/>
      <c r="RLG13" s="319"/>
      <c r="RLH13" s="319"/>
      <c r="RLI13" s="319"/>
      <c r="RLJ13" s="319"/>
      <c r="RLK13" s="319"/>
      <c r="RLL13" s="319"/>
      <c r="RLM13" s="319"/>
      <c r="RLN13" s="319"/>
      <c r="RLO13" s="319"/>
      <c r="RLP13" s="319"/>
      <c r="RLQ13" s="319"/>
      <c r="RLR13" s="319"/>
      <c r="RLS13" s="319"/>
      <c r="RLT13" s="319"/>
      <c r="RLU13" s="319"/>
      <c r="RLV13" s="319"/>
      <c r="RLW13" s="319"/>
      <c r="RLX13" s="319"/>
      <c r="RLY13" s="319"/>
      <c r="RLZ13" s="319"/>
      <c r="RMA13" s="319"/>
      <c r="RMB13" s="319"/>
      <c r="RMC13" s="319"/>
      <c r="RMD13" s="319"/>
      <c r="RME13" s="319"/>
      <c r="RMF13" s="319"/>
      <c r="RMG13" s="319"/>
      <c r="RMH13" s="319"/>
      <c r="RMI13" s="319"/>
      <c r="RMJ13" s="319"/>
      <c r="RMK13" s="319"/>
      <c r="RML13" s="319"/>
      <c r="RMM13" s="319"/>
      <c r="RMN13" s="319"/>
      <c r="RMO13" s="319"/>
      <c r="RMP13" s="319"/>
      <c r="RMQ13" s="319"/>
      <c r="RMR13" s="319"/>
      <c r="RMS13" s="319"/>
      <c r="RMT13" s="319"/>
      <c r="RMU13" s="319"/>
      <c r="RMV13" s="319"/>
      <c r="RMW13" s="319"/>
      <c r="RMX13" s="319"/>
      <c r="RMY13" s="319"/>
      <c r="RMZ13" s="319"/>
      <c r="RNA13" s="319"/>
      <c r="RNB13" s="319"/>
      <c r="RNC13" s="319"/>
      <c r="RND13" s="319"/>
      <c r="RNE13" s="319"/>
      <c r="RNF13" s="319"/>
      <c r="RNG13" s="319"/>
      <c r="RNH13" s="319"/>
      <c r="RNI13" s="319"/>
      <c r="RNJ13" s="319"/>
      <c r="RNK13" s="319"/>
      <c r="RNL13" s="319"/>
      <c r="RNM13" s="319"/>
      <c r="RNN13" s="319"/>
      <c r="RNO13" s="319"/>
      <c r="RNP13" s="319"/>
      <c r="RNQ13" s="319"/>
      <c r="RNR13" s="319"/>
      <c r="RNS13" s="319"/>
      <c r="RNT13" s="319"/>
      <c r="RNU13" s="319"/>
      <c r="RNV13" s="319"/>
      <c r="RNW13" s="319"/>
      <c r="RNX13" s="319"/>
      <c r="RNY13" s="319"/>
      <c r="RNZ13" s="319"/>
      <c r="ROA13" s="319"/>
      <c r="ROB13" s="319"/>
      <c r="ROC13" s="319"/>
      <c r="ROD13" s="319"/>
      <c r="ROE13" s="319"/>
      <c r="ROF13" s="319"/>
      <c r="ROG13" s="319"/>
      <c r="ROH13" s="319"/>
      <c r="ROI13" s="319"/>
      <c r="ROJ13" s="319"/>
      <c r="ROK13" s="319"/>
      <c r="ROL13" s="319"/>
      <c r="ROM13" s="319"/>
      <c r="RON13" s="319"/>
      <c r="ROO13" s="319"/>
      <c r="ROP13" s="319"/>
      <c r="ROQ13" s="319"/>
      <c r="ROR13" s="319"/>
      <c r="ROS13" s="319"/>
      <c r="ROT13" s="319"/>
      <c r="ROU13" s="319"/>
      <c r="ROV13" s="319"/>
      <c r="ROW13" s="319"/>
      <c r="ROX13" s="319"/>
      <c r="ROY13" s="319"/>
      <c r="ROZ13" s="319"/>
      <c r="RPA13" s="319"/>
      <c r="RPB13" s="319"/>
      <c r="RPC13" s="319"/>
      <c r="RPD13" s="319"/>
      <c r="RPE13" s="319"/>
      <c r="RPF13" s="319"/>
      <c r="RPG13" s="319"/>
      <c r="RPH13" s="319"/>
      <c r="RPI13" s="319"/>
      <c r="RPJ13" s="319"/>
      <c r="RPK13" s="319"/>
      <c r="RPL13" s="319"/>
      <c r="RPM13" s="319"/>
      <c r="RPN13" s="319"/>
      <c r="RPO13" s="319"/>
      <c r="RPP13" s="319"/>
      <c r="RPQ13" s="319"/>
      <c r="RPR13" s="319"/>
      <c r="RPS13" s="319"/>
      <c r="RPT13" s="319"/>
      <c r="RPU13" s="319"/>
      <c r="RPV13" s="319"/>
      <c r="RPW13" s="319"/>
      <c r="RPX13" s="319"/>
      <c r="RPY13" s="319"/>
      <c r="RPZ13" s="319"/>
      <c r="RQA13" s="319"/>
      <c r="RQB13" s="319"/>
      <c r="RQC13" s="319"/>
      <c r="RQD13" s="319"/>
      <c r="RQE13" s="319"/>
      <c r="RQF13" s="319"/>
      <c r="RQG13" s="319"/>
      <c r="RQH13" s="319"/>
      <c r="RQI13" s="319"/>
      <c r="RQJ13" s="319"/>
      <c r="RQK13" s="319"/>
      <c r="RQL13" s="319"/>
      <c r="RQM13" s="319"/>
      <c r="RQN13" s="319"/>
      <c r="RQO13" s="319"/>
      <c r="RQP13" s="319"/>
      <c r="RQQ13" s="319"/>
      <c r="RQR13" s="319"/>
      <c r="RQS13" s="319"/>
      <c r="RQT13" s="319"/>
      <c r="RQU13" s="319"/>
      <c r="RQV13" s="319"/>
      <c r="RQW13" s="319"/>
      <c r="RQX13" s="319"/>
      <c r="RQY13" s="319"/>
      <c r="RQZ13" s="319"/>
      <c r="RRA13" s="319"/>
      <c r="RRB13" s="319"/>
      <c r="RRC13" s="319"/>
      <c r="RRD13" s="319"/>
      <c r="RRE13" s="319"/>
      <c r="RRF13" s="319"/>
      <c r="RRG13" s="319"/>
      <c r="RRH13" s="319"/>
      <c r="RRI13" s="319"/>
      <c r="RRJ13" s="319"/>
      <c r="RRK13" s="319"/>
      <c r="RRL13" s="319"/>
      <c r="RRM13" s="319"/>
      <c r="RRN13" s="319"/>
      <c r="RRO13" s="319"/>
      <c r="RRP13" s="319"/>
      <c r="RRQ13" s="319"/>
      <c r="RRR13" s="319"/>
      <c r="RRS13" s="319"/>
      <c r="RRT13" s="319"/>
      <c r="RRU13" s="319"/>
      <c r="RRV13" s="319"/>
      <c r="RRW13" s="319"/>
      <c r="RRX13" s="319"/>
      <c r="RRY13" s="319"/>
      <c r="RRZ13" s="319"/>
      <c r="RSA13" s="319"/>
      <c r="RSB13" s="319"/>
      <c r="RSC13" s="319"/>
      <c r="RSD13" s="319"/>
      <c r="RSE13" s="319"/>
      <c r="RSF13" s="319"/>
      <c r="RSG13" s="319"/>
      <c r="RSH13" s="319"/>
      <c r="RSI13" s="319"/>
      <c r="RSJ13" s="319"/>
      <c r="RSK13" s="319"/>
      <c r="RSL13" s="319"/>
      <c r="RSM13" s="319"/>
      <c r="RSN13" s="319"/>
      <c r="RSO13" s="319"/>
      <c r="RSP13" s="319"/>
      <c r="RSQ13" s="319"/>
      <c r="RSR13" s="319"/>
      <c r="RSS13" s="319"/>
      <c r="RST13" s="319"/>
      <c r="RSU13" s="319"/>
      <c r="RSV13" s="319"/>
      <c r="RSW13" s="319"/>
      <c r="RSX13" s="319"/>
      <c r="RSY13" s="319"/>
      <c r="RSZ13" s="319"/>
      <c r="RTA13" s="319"/>
      <c r="RTB13" s="319"/>
      <c r="RTC13" s="319"/>
      <c r="RTD13" s="319"/>
      <c r="RTE13" s="319"/>
      <c r="RTF13" s="319"/>
      <c r="RTG13" s="319"/>
      <c r="RTH13" s="319"/>
      <c r="RTI13" s="319"/>
      <c r="RTJ13" s="319"/>
      <c r="RTK13" s="319"/>
      <c r="RTL13" s="319"/>
      <c r="RTM13" s="319"/>
      <c r="RTN13" s="319"/>
      <c r="RTO13" s="319"/>
      <c r="RTP13" s="319"/>
      <c r="RTQ13" s="319"/>
      <c r="RTR13" s="319"/>
      <c r="RTS13" s="319"/>
      <c r="RTT13" s="319"/>
      <c r="RTU13" s="319"/>
      <c r="RTV13" s="319"/>
      <c r="RTW13" s="319"/>
      <c r="RTX13" s="319"/>
      <c r="RTY13" s="319"/>
      <c r="RTZ13" s="319"/>
      <c r="RUA13" s="319"/>
      <c r="RUB13" s="319"/>
      <c r="RUC13" s="319"/>
      <c r="RUD13" s="319"/>
      <c r="RUE13" s="319"/>
      <c r="RUF13" s="319"/>
      <c r="RUG13" s="319"/>
      <c r="RUH13" s="319"/>
      <c r="RUI13" s="319"/>
      <c r="RUJ13" s="319"/>
      <c r="RUK13" s="319"/>
      <c r="RUL13" s="319"/>
      <c r="RUM13" s="319"/>
      <c r="RUN13" s="319"/>
      <c r="RUO13" s="319"/>
      <c r="RUP13" s="319"/>
      <c r="RUQ13" s="319"/>
      <c r="RUR13" s="319"/>
      <c r="RUS13" s="319"/>
      <c r="RUT13" s="319"/>
      <c r="RUU13" s="319"/>
      <c r="RUV13" s="319"/>
      <c r="RUW13" s="319"/>
      <c r="RUX13" s="319"/>
      <c r="RUY13" s="319"/>
      <c r="RUZ13" s="319"/>
      <c r="RVA13" s="319"/>
      <c r="RVB13" s="319"/>
      <c r="RVC13" s="319"/>
      <c r="RVD13" s="319"/>
      <c r="RVE13" s="319"/>
      <c r="RVF13" s="319"/>
      <c r="RVG13" s="319"/>
      <c r="RVH13" s="319"/>
      <c r="RVI13" s="319"/>
      <c r="RVJ13" s="319"/>
      <c r="RVK13" s="319"/>
      <c r="RVL13" s="319"/>
      <c r="RVM13" s="319"/>
      <c r="RVN13" s="319"/>
      <c r="RVO13" s="319"/>
      <c r="RVP13" s="319"/>
      <c r="RVQ13" s="319"/>
      <c r="RVR13" s="319"/>
      <c r="RVS13" s="319"/>
      <c r="RVT13" s="319"/>
      <c r="RVU13" s="319"/>
      <c r="RVV13" s="319"/>
      <c r="RVW13" s="319"/>
      <c r="RVX13" s="319"/>
      <c r="RVY13" s="319"/>
      <c r="RVZ13" s="319"/>
      <c r="RWA13" s="319"/>
      <c r="RWB13" s="319"/>
      <c r="RWC13" s="319"/>
      <c r="RWD13" s="319"/>
      <c r="RWE13" s="319"/>
      <c r="RWF13" s="319"/>
      <c r="RWG13" s="319"/>
      <c r="RWH13" s="319"/>
      <c r="RWI13" s="319"/>
      <c r="RWJ13" s="319"/>
      <c r="RWK13" s="319"/>
      <c r="RWL13" s="319"/>
      <c r="RWM13" s="319"/>
      <c r="RWN13" s="319"/>
      <c r="RWO13" s="319"/>
      <c r="RWP13" s="319"/>
      <c r="RWQ13" s="319"/>
      <c r="RWR13" s="319"/>
      <c r="RWS13" s="319"/>
      <c r="RWT13" s="319"/>
      <c r="RWU13" s="319"/>
      <c r="RWV13" s="319"/>
      <c r="RWW13" s="319"/>
      <c r="RWX13" s="319"/>
      <c r="RWY13" s="319"/>
      <c r="RWZ13" s="319"/>
      <c r="RXA13" s="319"/>
      <c r="RXB13" s="319"/>
      <c r="RXC13" s="319"/>
      <c r="RXD13" s="319"/>
      <c r="RXE13" s="319"/>
      <c r="RXF13" s="319"/>
      <c r="RXG13" s="319"/>
      <c r="RXH13" s="319"/>
      <c r="RXI13" s="319"/>
      <c r="RXJ13" s="319"/>
      <c r="RXK13" s="319"/>
      <c r="RXL13" s="319"/>
      <c r="RXM13" s="319"/>
      <c r="RXN13" s="319"/>
      <c r="RXO13" s="319"/>
      <c r="RXP13" s="319"/>
      <c r="RXQ13" s="319"/>
      <c r="RXR13" s="319"/>
      <c r="RXS13" s="319"/>
      <c r="RXT13" s="319"/>
      <c r="RXU13" s="319"/>
      <c r="RXV13" s="319"/>
      <c r="RXW13" s="319"/>
      <c r="RXX13" s="319"/>
      <c r="RXY13" s="319"/>
      <c r="RXZ13" s="319"/>
      <c r="RYA13" s="319"/>
      <c r="RYB13" s="319"/>
      <c r="RYC13" s="319"/>
      <c r="RYD13" s="319"/>
      <c r="RYE13" s="319"/>
      <c r="RYF13" s="319"/>
      <c r="RYG13" s="319"/>
      <c r="RYH13" s="319"/>
      <c r="RYI13" s="319"/>
      <c r="RYJ13" s="319"/>
      <c r="RYK13" s="319"/>
      <c r="RYL13" s="319"/>
      <c r="RYM13" s="319"/>
      <c r="RYN13" s="319"/>
      <c r="RYO13" s="319"/>
      <c r="RYP13" s="319"/>
      <c r="RYQ13" s="319"/>
      <c r="RYR13" s="319"/>
      <c r="RYS13" s="319"/>
      <c r="RYT13" s="319"/>
      <c r="RYU13" s="319"/>
      <c r="RYV13" s="319"/>
      <c r="RYW13" s="319"/>
      <c r="RYX13" s="319"/>
      <c r="RYY13" s="319"/>
      <c r="RYZ13" s="319"/>
      <c r="RZA13" s="319"/>
      <c r="RZB13" s="319"/>
      <c r="RZC13" s="319"/>
      <c r="RZD13" s="319"/>
      <c r="RZE13" s="319"/>
      <c r="RZF13" s="319"/>
      <c r="RZG13" s="319"/>
      <c r="RZH13" s="319"/>
      <c r="RZI13" s="319"/>
      <c r="RZJ13" s="319"/>
      <c r="RZK13" s="319"/>
      <c r="RZL13" s="319"/>
      <c r="RZM13" s="319"/>
      <c r="RZN13" s="319"/>
      <c r="RZO13" s="319"/>
      <c r="RZP13" s="319"/>
      <c r="RZQ13" s="319"/>
      <c r="RZR13" s="319"/>
      <c r="RZS13" s="319"/>
      <c r="RZT13" s="319"/>
      <c r="RZU13" s="319"/>
      <c r="RZV13" s="319"/>
      <c r="RZW13" s="319"/>
      <c r="RZX13" s="319"/>
      <c r="RZY13" s="319"/>
      <c r="RZZ13" s="319"/>
      <c r="SAA13" s="319"/>
      <c r="SAB13" s="319"/>
      <c r="SAC13" s="319"/>
      <c r="SAD13" s="319"/>
      <c r="SAE13" s="319"/>
      <c r="SAF13" s="319"/>
      <c r="SAG13" s="319"/>
      <c r="SAH13" s="319"/>
      <c r="SAI13" s="319"/>
      <c r="SAJ13" s="319"/>
      <c r="SAK13" s="319"/>
      <c r="SAL13" s="319"/>
      <c r="SAM13" s="319"/>
      <c r="SAN13" s="319"/>
      <c r="SAO13" s="319"/>
      <c r="SAP13" s="319"/>
      <c r="SAQ13" s="319"/>
      <c r="SAR13" s="319"/>
      <c r="SAS13" s="319"/>
      <c r="SAT13" s="319"/>
      <c r="SAU13" s="319"/>
      <c r="SAV13" s="319"/>
      <c r="SAW13" s="319"/>
      <c r="SAX13" s="319"/>
      <c r="SAY13" s="319"/>
      <c r="SAZ13" s="319"/>
      <c r="SBA13" s="319"/>
      <c r="SBB13" s="319"/>
      <c r="SBC13" s="319"/>
      <c r="SBD13" s="319"/>
      <c r="SBE13" s="319"/>
      <c r="SBF13" s="319"/>
      <c r="SBG13" s="319"/>
      <c r="SBH13" s="319"/>
      <c r="SBI13" s="319"/>
      <c r="SBJ13" s="319"/>
      <c r="SBK13" s="319"/>
      <c r="SBL13" s="319"/>
      <c r="SBM13" s="319"/>
      <c r="SBN13" s="319"/>
      <c r="SBO13" s="319"/>
      <c r="SBP13" s="319"/>
      <c r="SBQ13" s="319"/>
      <c r="SBR13" s="319"/>
      <c r="SBS13" s="319"/>
      <c r="SBT13" s="319"/>
      <c r="SBU13" s="319"/>
      <c r="SBV13" s="319"/>
      <c r="SBW13" s="319"/>
      <c r="SBX13" s="319"/>
      <c r="SBY13" s="319"/>
      <c r="SBZ13" s="319"/>
      <c r="SCA13" s="319"/>
      <c r="SCB13" s="319"/>
      <c r="SCC13" s="319"/>
      <c r="SCD13" s="319"/>
      <c r="SCE13" s="319"/>
      <c r="SCF13" s="319"/>
      <c r="SCG13" s="319"/>
      <c r="SCH13" s="319"/>
      <c r="SCI13" s="319"/>
      <c r="SCJ13" s="319"/>
      <c r="SCK13" s="319"/>
      <c r="SCL13" s="319"/>
      <c r="SCM13" s="319"/>
      <c r="SCN13" s="319"/>
      <c r="SCO13" s="319"/>
      <c r="SCP13" s="319"/>
      <c r="SCQ13" s="319"/>
      <c r="SCR13" s="319"/>
      <c r="SCS13" s="319"/>
      <c r="SCT13" s="319"/>
      <c r="SCU13" s="319"/>
      <c r="SCV13" s="319"/>
      <c r="SCW13" s="319"/>
      <c r="SCX13" s="319"/>
      <c r="SCY13" s="319"/>
      <c r="SCZ13" s="319"/>
      <c r="SDA13" s="319"/>
      <c r="SDB13" s="319"/>
      <c r="SDC13" s="319"/>
      <c r="SDD13" s="319"/>
      <c r="SDE13" s="319"/>
      <c r="SDF13" s="319"/>
      <c r="SDG13" s="319"/>
      <c r="SDH13" s="319"/>
      <c r="SDI13" s="319"/>
      <c r="SDJ13" s="319"/>
      <c r="SDK13" s="319"/>
      <c r="SDL13" s="319"/>
      <c r="SDM13" s="319"/>
      <c r="SDN13" s="319"/>
      <c r="SDO13" s="319"/>
      <c r="SDP13" s="319"/>
      <c r="SDQ13" s="319"/>
      <c r="SDR13" s="319"/>
      <c r="SDS13" s="319"/>
      <c r="SDT13" s="319"/>
      <c r="SDU13" s="319"/>
      <c r="SDV13" s="319"/>
      <c r="SDW13" s="319"/>
      <c r="SDX13" s="319"/>
      <c r="SDY13" s="319"/>
      <c r="SDZ13" s="319"/>
      <c r="SEA13" s="319"/>
      <c r="SEB13" s="319"/>
      <c r="SEC13" s="319"/>
      <c r="SED13" s="319"/>
      <c r="SEE13" s="319"/>
      <c r="SEF13" s="319"/>
      <c r="SEG13" s="319"/>
      <c r="SEH13" s="319"/>
      <c r="SEI13" s="319"/>
      <c r="SEJ13" s="319"/>
      <c r="SEK13" s="319"/>
      <c r="SEL13" s="319"/>
      <c r="SEM13" s="319"/>
      <c r="SEN13" s="319"/>
      <c r="SEO13" s="319"/>
      <c r="SEP13" s="319"/>
      <c r="SEQ13" s="319"/>
      <c r="SER13" s="319"/>
      <c r="SES13" s="319"/>
      <c r="SET13" s="319"/>
      <c r="SEU13" s="319"/>
      <c r="SEV13" s="319"/>
      <c r="SEW13" s="319"/>
      <c r="SEX13" s="319"/>
      <c r="SEY13" s="319"/>
      <c r="SEZ13" s="319"/>
      <c r="SFA13" s="319"/>
      <c r="SFB13" s="319"/>
      <c r="SFC13" s="319"/>
      <c r="SFD13" s="319"/>
      <c r="SFE13" s="319"/>
      <c r="SFF13" s="319"/>
      <c r="SFG13" s="319"/>
      <c r="SFH13" s="319"/>
      <c r="SFI13" s="319"/>
      <c r="SFJ13" s="319"/>
      <c r="SFK13" s="319"/>
      <c r="SFL13" s="319"/>
      <c r="SFM13" s="319"/>
      <c r="SFN13" s="319"/>
      <c r="SFO13" s="319"/>
      <c r="SFP13" s="319"/>
      <c r="SFQ13" s="319"/>
      <c r="SFR13" s="319"/>
      <c r="SFS13" s="319"/>
      <c r="SFT13" s="319"/>
      <c r="SFU13" s="319"/>
      <c r="SFV13" s="319"/>
      <c r="SFW13" s="319"/>
      <c r="SFX13" s="319"/>
      <c r="SFY13" s="319"/>
      <c r="SFZ13" s="319"/>
      <c r="SGA13" s="319"/>
      <c r="SGB13" s="319"/>
      <c r="SGC13" s="319"/>
      <c r="SGD13" s="319"/>
      <c r="SGE13" s="319"/>
      <c r="SGF13" s="319"/>
      <c r="SGG13" s="319"/>
      <c r="SGH13" s="319"/>
      <c r="SGI13" s="319"/>
      <c r="SGJ13" s="319"/>
      <c r="SGK13" s="319"/>
      <c r="SGL13" s="319"/>
      <c r="SGM13" s="319"/>
      <c r="SGN13" s="319"/>
      <c r="SGO13" s="319"/>
      <c r="SGP13" s="319"/>
      <c r="SGQ13" s="319"/>
      <c r="SGR13" s="319"/>
      <c r="SGS13" s="319"/>
      <c r="SGT13" s="319"/>
      <c r="SGU13" s="319"/>
      <c r="SGV13" s="319"/>
      <c r="SGW13" s="319"/>
      <c r="SGX13" s="319"/>
      <c r="SGY13" s="319"/>
      <c r="SGZ13" s="319"/>
      <c r="SHA13" s="319"/>
      <c r="SHB13" s="319"/>
      <c r="SHC13" s="319"/>
      <c r="SHD13" s="319"/>
      <c r="SHE13" s="319"/>
      <c r="SHF13" s="319"/>
      <c r="SHG13" s="319"/>
      <c r="SHH13" s="319"/>
      <c r="SHI13" s="319"/>
      <c r="SHJ13" s="319"/>
      <c r="SHK13" s="319"/>
      <c r="SHL13" s="319"/>
      <c r="SHM13" s="319"/>
      <c r="SHN13" s="319"/>
      <c r="SHO13" s="319"/>
      <c r="SHP13" s="319"/>
      <c r="SHQ13" s="319"/>
      <c r="SHR13" s="319"/>
      <c r="SHS13" s="319"/>
      <c r="SHT13" s="319"/>
      <c r="SHU13" s="319"/>
      <c r="SHV13" s="319"/>
      <c r="SHW13" s="319"/>
      <c r="SHX13" s="319"/>
      <c r="SHY13" s="319"/>
      <c r="SHZ13" s="319"/>
      <c r="SIA13" s="319"/>
      <c r="SIB13" s="319"/>
      <c r="SIC13" s="319"/>
      <c r="SID13" s="319"/>
      <c r="SIE13" s="319"/>
      <c r="SIF13" s="319"/>
      <c r="SIG13" s="319"/>
      <c r="SIH13" s="319"/>
      <c r="SII13" s="319"/>
      <c r="SIJ13" s="319"/>
      <c r="SIK13" s="319"/>
      <c r="SIL13" s="319"/>
      <c r="SIM13" s="319"/>
      <c r="SIN13" s="319"/>
      <c r="SIO13" s="319"/>
      <c r="SIP13" s="319"/>
      <c r="SIQ13" s="319"/>
      <c r="SIR13" s="319"/>
      <c r="SIS13" s="319"/>
      <c r="SIT13" s="319"/>
      <c r="SIU13" s="319"/>
      <c r="SIV13" s="319"/>
      <c r="SIW13" s="319"/>
      <c r="SIX13" s="319"/>
      <c r="SIY13" s="319"/>
      <c r="SIZ13" s="319"/>
      <c r="SJA13" s="319"/>
      <c r="SJB13" s="319"/>
      <c r="SJC13" s="319"/>
      <c r="SJD13" s="319"/>
      <c r="SJE13" s="319"/>
      <c r="SJF13" s="319"/>
      <c r="SJG13" s="319"/>
      <c r="SJH13" s="319"/>
      <c r="SJI13" s="319"/>
      <c r="SJJ13" s="319"/>
      <c r="SJK13" s="319"/>
      <c r="SJL13" s="319"/>
      <c r="SJM13" s="319"/>
      <c r="SJN13" s="319"/>
      <c r="SJO13" s="319"/>
      <c r="SJP13" s="319"/>
      <c r="SJQ13" s="319"/>
      <c r="SJR13" s="319"/>
      <c r="SJS13" s="319"/>
      <c r="SJT13" s="319"/>
      <c r="SJU13" s="319"/>
      <c r="SJV13" s="319"/>
      <c r="SJW13" s="319"/>
      <c r="SJX13" s="319"/>
      <c r="SJY13" s="319"/>
      <c r="SJZ13" s="319"/>
      <c r="SKA13" s="319"/>
      <c r="SKB13" s="319"/>
      <c r="SKC13" s="319"/>
      <c r="SKD13" s="319"/>
      <c r="SKE13" s="319"/>
      <c r="SKF13" s="319"/>
      <c r="SKG13" s="319"/>
      <c r="SKH13" s="319"/>
      <c r="SKI13" s="319"/>
      <c r="SKJ13" s="319"/>
      <c r="SKK13" s="319"/>
      <c r="SKL13" s="319"/>
      <c r="SKM13" s="319"/>
      <c r="SKN13" s="319"/>
      <c r="SKO13" s="319"/>
      <c r="SKP13" s="319"/>
      <c r="SKQ13" s="319"/>
      <c r="SKR13" s="319"/>
      <c r="SKS13" s="319"/>
      <c r="SKT13" s="319"/>
      <c r="SKU13" s="319"/>
      <c r="SKV13" s="319"/>
      <c r="SKW13" s="319"/>
      <c r="SKX13" s="319"/>
      <c r="SKY13" s="319"/>
      <c r="SKZ13" s="319"/>
      <c r="SLA13" s="319"/>
      <c r="SLB13" s="319"/>
      <c r="SLC13" s="319"/>
      <c r="SLD13" s="319"/>
      <c r="SLE13" s="319"/>
      <c r="SLF13" s="319"/>
      <c r="SLG13" s="319"/>
      <c r="SLH13" s="319"/>
      <c r="SLI13" s="319"/>
      <c r="SLJ13" s="319"/>
      <c r="SLK13" s="319"/>
      <c r="SLL13" s="319"/>
      <c r="SLM13" s="319"/>
      <c r="SLN13" s="319"/>
      <c r="SLO13" s="319"/>
      <c r="SLP13" s="319"/>
      <c r="SLQ13" s="319"/>
      <c r="SLR13" s="319"/>
      <c r="SLS13" s="319"/>
      <c r="SLT13" s="319"/>
      <c r="SLU13" s="319"/>
      <c r="SLV13" s="319"/>
      <c r="SLW13" s="319"/>
      <c r="SLX13" s="319"/>
      <c r="SLY13" s="319"/>
      <c r="SLZ13" s="319"/>
      <c r="SMA13" s="319"/>
      <c r="SMB13" s="319"/>
      <c r="SMC13" s="319"/>
      <c r="SMD13" s="319"/>
      <c r="SME13" s="319"/>
      <c r="SMF13" s="319"/>
      <c r="SMG13" s="319"/>
      <c r="SMH13" s="319"/>
      <c r="SMI13" s="319"/>
      <c r="SMJ13" s="319"/>
      <c r="SMK13" s="319"/>
      <c r="SML13" s="319"/>
      <c r="SMM13" s="319"/>
      <c r="SMN13" s="319"/>
      <c r="SMO13" s="319"/>
      <c r="SMP13" s="319"/>
      <c r="SMQ13" s="319"/>
      <c r="SMR13" s="319"/>
      <c r="SMS13" s="319"/>
      <c r="SMT13" s="319"/>
      <c r="SMU13" s="319"/>
      <c r="SMV13" s="319"/>
      <c r="SMW13" s="319"/>
      <c r="SMX13" s="319"/>
      <c r="SMY13" s="319"/>
      <c r="SMZ13" s="319"/>
      <c r="SNA13" s="319"/>
      <c r="SNB13" s="319"/>
      <c r="SNC13" s="319"/>
      <c r="SND13" s="319"/>
      <c r="SNE13" s="319"/>
      <c r="SNF13" s="319"/>
      <c r="SNG13" s="319"/>
      <c r="SNH13" s="319"/>
      <c r="SNI13" s="319"/>
      <c r="SNJ13" s="319"/>
      <c r="SNK13" s="319"/>
      <c r="SNL13" s="319"/>
      <c r="SNM13" s="319"/>
      <c r="SNN13" s="319"/>
      <c r="SNO13" s="319"/>
      <c r="SNP13" s="319"/>
      <c r="SNQ13" s="319"/>
      <c r="SNR13" s="319"/>
      <c r="SNS13" s="319"/>
      <c r="SNT13" s="319"/>
      <c r="SNU13" s="319"/>
      <c r="SNV13" s="319"/>
      <c r="SNW13" s="319"/>
      <c r="SNX13" s="319"/>
      <c r="SNY13" s="319"/>
      <c r="SNZ13" s="319"/>
      <c r="SOA13" s="319"/>
      <c r="SOB13" s="319"/>
      <c r="SOC13" s="319"/>
      <c r="SOD13" s="319"/>
      <c r="SOE13" s="319"/>
      <c r="SOF13" s="319"/>
      <c r="SOG13" s="319"/>
      <c r="SOH13" s="319"/>
      <c r="SOI13" s="319"/>
      <c r="SOJ13" s="319"/>
      <c r="SOK13" s="319"/>
      <c r="SOL13" s="319"/>
      <c r="SOM13" s="319"/>
      <c r="SON13" s="319"/>
      <c r="SOO13" s="319"/>
      <c r="SOP13" s="319"/>
      <c r="SOQ13" s="319"/>
      <c r="SOR13" s="319"/>
      <c r="SOS13" s="319"/>
      <c r="SOT13" s="319"/>
      <c r="SOU13" s="319"/>
      <c r="SOV13" s="319"/>
      <c r="SOW13" s="319"/>
      <c r="SOX13" s="319"/>
      <c r="SOY13" s="319"/>
      <c r="SOZ13" s="319"/>
      <c r="SPA13" s="319"/>
      <c r="SPB13" s="319"/>
      <c r="SPC13" s="319"/>
      <c r="SPD13" s="319"/>
      <c r="SPE13" s="319"/>
      <c r="SPF13" s="319"/>
      <c r="SPG13" s="319"/>
      <c r="SPH13" s="319"/>
      <c r="SPI13" s="319"/>
      <c r="SPJ13" s="319"/>
      <c r="SPK13" s="319"/>
      <c r="SPL13" s="319"/>
      <c r="SPM13" s="319"/>
      <c r="SPN13" s="319"/>
      <c r="SPO13" s="319"/>
      <c r="SPP13" s="319"/>
      <c r="SPQ13" s="319"/>
      <c r="SPR13" s="319"/>
      <c r="SPS13" s="319"/>
      <c r="SPT13" s="319"/>
      <c r="SPU13" s="319"/>
      <c r="SPV13" s="319"/>
      <c r="SPW13" s="319"/>
      <c r="SPX13" s="319"/>
      <c r="SPY13" s="319"/>
      <c r="SPZ13" s="319"/>
      <c r="SQA13" s="319"/>
      <c r="SQB13" s="319"/>
      <c r="SQC13" s="319"/>
      <c r="SQD13" s="319"/>
      <c r="SQE13" s="319"/>
      <c r="SQF13" s="319"/>
      <c r="SQG13" s="319"/>
      <c r="SQH13" s="319"/>
      <c r="SQI13" s="319"/>
      <c r="SQJ13" s="319"/>
      <c r="SQK13" s="319"/>
      <c r="SQL13" s="319"/>
      <c r="SQM13" s="319"/>
      <c r="SQN13" s="319"/>
      <c r="SQO13" s="319"/>
      <c r="SQP13" s="319"/>
      <c r="SQQ13" s="319"/>
      <c r="SQR13" s="319"/>
      <c r="SQS13" s="319"/>
      <c r="SQT13" s="319"/>
      <c r="SQU13" s="319"/>
      <c r="SQV13" s="319"/>
      <c r="SQW13" s="319"/>
      <c r="SQX13" s="319"/>
      <c r="SQY13" s="319"/>
      <c r="SQZ13" s="319"/>
      <c r="SRA13" s="319"/>
      <c r="SRB13" s="319"/>
      <c r="SRC13" s="319"/>
      <c r="SRD13" s="319"/>
      <c r="SRE13" s="319"/>
      <c r="SRF13" s="319"/>
      <c r="SRG13" s="319"/>
      <c r="SRH13" s="319"/>
      <c r="SRI13" s="319"/>
      <c r="SRJ13" s="319"/>
      <c r="SRK13" s="319"/>
      <c r="SRL13" s="319"/>
      <c r="SRM13" s="319"/>
      <c r="SRN13" s="319"/>
      <c r="SRO13" s="319"/>
      <c r="SRP13" s="319"/>
      <c r="SRQ13" s="319"/>
      <c r="SRR13" s="319"/>
      <c r="SRS13" s="319"/>
      <c r="SRT13" s="319"/>
      <c r="SRU13" s="319"/>
      <c r="SRV13" s="319"/>
      <c r="SRW13" s="319"/>
      <c r="SRX13" s="319"/>
      <c r="SRY13" s="319"/>
      <c r="SRZ13" s="319"/>
      <c r="SSA13" s="319"/>
      <c r="SSB13" s="319"/>
      <c r="SSC13" s="319"/>
      <c r="SSD13" s="319"/>
      <c r="SSE13" s="319"/>
      <c r="SSF13" s="319"/>
      <c r="SSG13" s="319"/>
      <c r="SSH13" s="319"/>
      <c r="SSI13" s="319"/>
      <c r="SSJ13" s="319"/>
      <c r="SSK13" s="319"/>
      <c r="SSL13" s="319"/>
      <c r="SSM13" s="319"/>
      <c r="SSN13" s="319"/>
      <c r="SSO13" s="319"/>
      <c r="SSP13" s="319"/>
      <c r="SSQ13" s="319"/>
      <c r="SSR13" s="319"/>
      <c r="SSS13" s="319"/>
      <c r="SST13" s="319"/>
      <c r="SSU13" s="319"/>
      <c r="SSV13" s="319"/>
      <c r="SSW13" s="319"/>
      <c r="SSX13" s="319"/>
      <c r="SSY13" s="319"/>
      <c r="SSZ13" s="319"/>
      <c r="STA13" s="319"/>
      <c r="STB13" s="319"/>
      <c r="STC13" s="319"/>
      <c r="STD13" s="319"/>
      <c r="STE13" s="319"/>
      <c r="STF13" s="319"/>
      <c r="STG13" s="319"/>
      <c r="STH13" s="319"/>
      <c r="STI13" s="319"/>
      <c r="STJ13" s="319"/>
      <c r="STK13" s="319"/>
      <c r="STL13" s="319"/>
      <c r="STM13" s="319"/>
      <c r="STN13" s="319"/>
      <c r="STO13" s="319"/>
      <c r="STP13" s="319"/>
      <c r="STQ13" s="319"/>
      <c r="STR13" s="319"/>
      <c r="STS13" s="319"/>
      <c r="STT13" s="319"/>
      <c r="STU13" s="319"/>
      <c r="STV13" s="319"/>
      <c r="STW13" s="319"/>
      <c r="STX13" s="319"/>
      <c r="STY13" s="319"/>
      <c r="STZ13" s="319"/>
      <c r="SUA13" s="319"/>
      <c r="SUB13" s="319"/>
      <c r="SUC13" s="319"/>
      <c r="SUD13" s="319"/>
      <c r="SUE13" s="319"/>
      <c r="SUF13" s="319"/>
      <c r="SUG13" s="319"/>
      <c r="SUH13" s="319"/>
      <c r="SUI13" s="319"/>
      <c r="SUJ13" s="319"/>
      <c r="SUK13" s="319"/>
      <c r="SUL13" s="319"/>
      <c r="SUM13" s="319"/>
      <c r="SUN13" s="319"/>
      <c r="SUO13" s="319"/>
      <c r="SUP13" s="319"/>
      <c r="SUQ13" s="319"/>
      <c r="SUR13" s="319"/>
      <c r="SUS13" s="319"/>
      <c r="SUT13" s="319"/>
      <c r="SUU13" s="319"/>
      <c r="SUV13" s="319"/>
      <c r="SUW13" s="319"/>
      <c r="SUX13" s="319"/>
      <c r="SUY13" s="319"/>
      <c r="SUZ13" s="319"/>
      <c r="SVA13" s="319"/>
      <c r="SVB13" s="319"/>
      <c r="SVC13" s="319"/>
      <c r="SVD13" s="319"/>
      <c r="SVE13" s="319"/>
      <c r="SVF13" s="319"/>
      <c r="SVG13" s="319"/>
      <c r="SVH13" s="319"/>
      <c r="SVI13" s="319"/>
      <c r="SVJ13" s="319"/>
      <c r="SVK13" s="319"/>
      <c r="SVL13" s="319"/>
      <c r="SVM13" s="319"/>
      <c r="SVN13" s="319"/>
      <c r="SVO13" s="319"/>
      <c r="SVP13" s="319"/>
      <c r="SVQ13" s="319"/>
      <c r="SVR13" s="319"/>
      <c r="SVS13" s="319"/>
      <c r="SVT13" s="319"/>
      <c r="SVU13" s="319"/>
      <c r="SVV13" s="319"/>
      <c r="SVW13" s="319"/>
      <c r="SVX13" s="319"/>
      <c r="SVY13" s="319"/>
      <c r="SVZ13" s="319"/>
      <c r="SWA13" s="319"/>
      <c r="SWB13" s="319"/>
      <c r="SWC13" s="319"/>
      <c r="SWD13" s="319"/>
      <c r="SWE13" s="319"/>
      <c r="SWF13" s="319"/>
      <c r="SWG13" s="319"/>
      <c r="SWH13" s="319"/>
      <c r="SWI13" s="319"/>
      <c r="SWJ13" s="319"/>
      <c r="SWK13" s="319"/>
      <c r="SWL13" s="319"/>
      <c r="SWM13" s="319"/>
      <c r="SWN13" s="319"/>
      <c r="SWO13" s="319"/>
      <c r="SWP13" s="319"/>
      <c r="SWQ13" s="319"/>
      <c r="SWR13" s="319"/>
      <c r="SWS13" s="319"/>
      <c r="SWT13" s="319"/>
      <c r="SWU13" s="319"/>
      <c r="SWV13" s="319"/>
      <c r="SWW13" s="319"/>
      <c r="SWX13" s="319"/>
      <c r="SWY13" s="319"/>
      <c r="SWZ13" s="319"/>
      <c r="SXA13" s="319"/>
      <c r="SXB13" s="319"/>
      <c r="SXC13" s="319"/>
      <c r="SXD13" s="319"/>
      <c r="SXE13" s="319"/>
      <c r="SXF13" s="319"/>
      <c r="SXG13" s="319"/>
      <c r="SXH13" s="319"/>
      <c r="SXI13" s="319"/>
      <c r="SXJ13" s="319"/>
      <c r="SXK13" s="319"/>
      <c r="SXL13" s="319"/>
      <c r="SXM13" s="319"/>
      <c r="SXN13" s="319"/>
      <c r="SXO13" s="319"/>
      <c r="SXP13" s="319"/>
      <c r="SXQ13" s="319"/>
      <c r="SXR13" s="319"/>
      <c r="SXS13" s="319"/>
      <c r="SXT13" s="319"/>
      <c r="SXU13" s="319"/>
      <c r="SXV13" s="319"/>
      <c r="SXW13" s="319"/>
      <c r="SXX13" s="319"/>
      <c r="SXY13" s="319"/>
      <c r="SXZ13" s="319"/>
      <c r="SYA13" s="319"/>
      <c r="SYB13" s="319"/>
      <c r="SYC13" s="319"/>
      <c r="SYD13" s="319"/>
      <c r="SYE13" s="319"/>
      <c r="SYF13" s="319"/>
      <c r="SYG13" s="319"/>
      <c r="SYH13" s="319"/>
      <c r="SYI13" s="319"/>
      <c r="SYJ13" s="319"/>
      <c r="SYK13" s="319"/>
      <c r="SYL13" s="319"/>
      <c r="SYM13" s="319"/>
      <c r="SYN13" s="319"/>
      <c r="SYO13" s="319"/>
      <c r="SYP13" s="319"/>
      <c r="SYQ13" s="319"/>
      <c r="SYR13" s="319"/>
      <c r="SYS13" s="319"/>
      <c r="SYT13" s="319"/>
      <c r="SYU13" s="319"/>
      <c r="SYV13" s="319"/>
      <c r="SYW13" s="319"/>
      <c r="SYX13" s="319"/>
      <c r="SYY13" s="319"/>
      <c r="SYZ13" s="319"/>
      <c r="SZA13" s="319"/>
      <c r="SZB13" s="319"/>
      <c r="SZC13" s="319"/>
      <c r="SZD13" s="319"/>
      <c r="SZE13" s="319"/>
      <c r="SZF13" s="319"/>
      <c r="SZG13" s="319"/>
      <c r="SZH13" s="319"/>
      <c r="SZI13" s="319"/>
      <c r="SZJ13" s="319"/>
      <c r="SZK13" s="319"/>
      <c r="SZL13" s="319"/>
      <c r="SZM13" s="319"/>
      <c r="SZN13" s="319"/>
      <c r="SZO13" s="319"/>
      <c r="SZP13" s="319"/>
      <c r="SZQ13" s="319"/>
      <c r="SZR13" s="319"/>
      <c r="SZS13" s="319"/>
      <c r="SZT13" s="319"/>
      <c r="SZU13" s="319"/>
      <c r="SZV13" s="319"/>
      <c r="SZW13" s="319"/>
      <c r="SZX13" s="319"/>
      <c r="SZY13" s="319"/>
      <c r="SZZ13" s="319"/>
      <c r="TAA13" s="319"/>
      <c r="TAB13" s="319"/>
      <c r="TAC13" s="319"/>
      <c r="TAD13" s="319"/>
      <c r="TAE13" s="319"/>
      <c r="TAF13" s="319"/>
      <c r="TAG13" s="319"/>
      <c r="TAH13" s="319"/>
      <c r="TAI13" s="319"/>
      <c r="TAJ13" s="319"/>
      <c r="TAK13" s="319"/>
      <c r="TAL13" s="319"/>
      <c r="TAM13" s="319"/>
      <c r="TAN13" s="319"/>
      <c r="TAO13" s="319"/>
      <c r="TAP13" s="319"/>
      <c r="TAQ13" s="319"/>
      <c r="TAR13" s="319"/>
      <c r="TAS13" s="319"/>
      <c r="TAT13" s="319"/>
      <c r="TAU13" s="319"/>
      <c r="TAV13" s="319"/>
      <c r="TAW13" s="319"/>
      <c r="TAX13" s="319"/>
      <c r="TAY13" s="319"/>
      <c r="TAZ13" s="319"/>
      <c r="TBA13" s="319"/>
      <c r="TBB13" s="319"/>
      <c r="TBC13" s="319"/>
      <c r="TBD13" s="319"/>
      <c r="TBE13" s="319"/>
      <c r="TBF13" s="319"/>
      <c r="TBG13" s="319"/>
      <c r="TBH13" s="319"/>
      <c r="TBI13" s="319"/>
      <c r="TBJ13" s="319"/>
      <c r="TBK13" s="319"/>
      <c r="TBL13" s="319"/>
      <c r="TBM13" s="319"/>
      <c r="TBN13" s="319"/>
      <c r="TBO13" s="319"/>
      <c r="TBP13" s="319"/>
      <c r="TBQ13" s="319"/>
      <c r="TBR13" s="319"/>
      <c r="TBS13" s="319"/>
      <c r="TBT13" s="319"/>
      <c r="TBU13" s="319"/>
      <c r="TBV13" s="319"/>
      <c r="TBW13" s="319"/>
      <c r="TBX13" s="319"/>
      <c r="TBY13" s="319"/>
      <c r="TBZ13" s="319"/>
      <c r="TCA13" s="319"/>
      <c r="TCB13" s="319"/>
      <c r="TCC13" s="319"/>
      <c r="TCD13" s="319"/>
      <c r="TCE13" s="319"/>
      <c r="TCF13" s="319"/>
      <c r="TCG13" s="319"/>
      <c r="TCH13" s="319"/>
      <c r="TCI13" s="319"/>
      <c r="TCJ13" s="319"/>
      <c r="TCK13" s="319"/>
      <c r="TCL13" s="319"/>
      <c r="TCM13" s="319"/>
      <c r="TCN13" s="319"/>
      <c r="TCO13" s="319"/>
      <c r="TCP13" s="319"/>
      <c r="TCQ13" s="319"/>
      <c r="TCR13" s="319"/>
      <c r="TCS13" s="319"/>
      <c r="TCT13" s="319"/>
      <c r="TCU13" s="319"/>
      <c r="TCV13" s="319"/>
      <c r="TCW13" s="319"/>
      <c r="TCX13" s="319"/>
      <c r="TCY13" s="319"/>
      <c r="TCZ13" s="319"/>
      <c r="TDA13" s="319"/>
      <c r="TDB13" s="319"/>
      <c r="TDC13" s="319"/>
      <c r="TDD13" s="319"/>
      <c r="TDE13" s="319"/>
      <c r="TDF13" s="319"/>
      <c r="TDG13" s="319"/>
      <c r="TDH13" s="319"/>
      <c r="TDI13" s="319"/>
      <c r="TDJ13" s="319"/>
      <c r="TDK13" s="319"/>
      <c r="TDL13" s="319"/>
      <c r="TDM13" s="319"/>
      <c r="TDN13" s="319"/>
      <c r="TDO13" s="319"/>
      <c r="TDP13" s="319"/>
      <c r="TDQ13" s="319"/>
      <c r="TDR13" s="319"/>
      <c r="TDS13" s="319"/>
      <c r="TDT13" s="319"/>
      <c r="TDU13" s="319"/>
      <c r="TDV13" s="319"/>
      <c r="TDW13" s="319"/>
      <c r="TDX13" s="319"/>
      <c r="TDY13" s="319"/>
      <c r="TDZ13" s="319"/>
      <c r="TEA13" s="319"/>
      <c r="TEB13" s="319"/>
      <c r="TEC13" s="319"/>
      <c r="TED13" s="319"/>
      <c r="TEE13" s="319"/>
      <c r="TEF13" s="319"/>
      <c r="TEG13" s="319"/>
      <c r="TEH13" s="319"/>
      <c r="TEI13" s="319"/>
      <c r="TEJ13" s="319"/>
      <c r="TEK13" s="319"/>
      <c r="TEL13" s="319"/>
      <c r="TEM13" s="319"/>
      <c r="TEN13" s="319"/>
      <c r="TEO13" s="319"/>
      <c r="TEP13" s="319"/>
      <c r="TEQ13" s="319"/>
      <c r="TER13" s="319"/>
      <c r="TES13" s="319"/>
      <c r="TET13" s="319"/>
      <c r="TEU13" s="319"/>
      <c r="TEV13" s="319"/>
      <c r="TEW13" s="319"/>
      <c r="TEX13" s="319"/>
      <c r="TEY13" s="319"/>
      <c r="TEZ13" s="319"/>
      <c r="TFA13" s="319"/>
      <c r="TFB13" s="319"/>
      <c r="TFC13" s="319"/>
      <c r="TFD13" s="319"/>
      <c r="TFE13" s="319"/>
      <c r="TFF13" s="319"/>
      <c r="TFG13" s="319"/>
      <c r="TFH13" s="319"/>
      <c r="TFI13" s="319"/>
      <c r="TFJ13" s="319"/>
      <c r="TFK13" s="319"/>
      <c r="TFL13" s="319"/>
      <c r="TFM13" s="319"/>
      <c r="TFN13" s="319"/>
      <c r="TFO13" s="319"/>
      <c r="TFP13" s="319"/>
      <c r="TFQ13" s="319"/>
      <c r="TFR13" s="319"/>
      <c r="TFS13" s="319"/>
      <c r="TFT13" s="319"/>
      <c r="TFU13" s="319"/>
      <c r="TFV13" s="319"/>
      <c r="TFW13" s="319"/>
      <c r="TFX13" s="319"/>
      <c r="TFY13" s="319"/>
      <c r="TFZ13" s="319"/>
      <c r="TGA13" s="319"/>
      <c r="TGB13" s="319"/>
      <c r="TGC13" s="319"/>
      <c r="TGD13" s="319"/>
      <c r="TGE13" s="319"/>
      <c r="TGF13" s="319"/>
      <c r="TGG13" s="319"/>
      <c r="TGH13" s="319"/>
      <c r="TGI13" s="319"/>
      <c r="TGJ13" s="319"/>
      <c r="TGK13" s="319"/>
      <c r="TGL13" s="319"/>
      <c r="TGM13" s="319"/>
      <c r="TGN13" s="319"/>
      <c r="TGO13" s="319"/>
      <c r="TGP13" s="319"/>
      <c r="TGQ13" s="319"/>
      <c r="TGR13" s="319"/>
      <c r="TGS13" s="319"/>
      <c r="TGT13" s="319"/>
      <c r="TGU13" s="319"/>
      <c r="TGV13" s="319"/>
      <c r="TGW13" s="319"/>
      <c r="TGX13" s="319"/>
      <c r="TGY13" s="319"/>
      <c r="TGZ13" s="319"/>
      <c r="THA13" s="319"/>
      <c r="THB13" s="319"/>
      <c r="THC13" s="319"/>
      <c r="THD13" s="319"/>
      <c r="THE13" s="319"/>
      <c r="THF13" s="319"/>
      <c r="THG13" s="319"/>
      <c r="THH13" s="319"/>
      <c r="THI13" s="319"/>
      <c r="THJ13" s="319"/>
      <c r="THK13" s="319"/>
      <c r="THL13" s="319"/>
      <c r="THM13" s="319"/>
      <c r="THN13" s="319"/>
      <c r="THO13" s="319"/>
      <c r="THP13" s="319"/>
      <c r="THQ13" s="319"/>
      <c r="THR13" s="319"/>
      <c r="THS13" s="319"/>
      <c r="THT13" s="319"/>
      <c r="THU13" s="319"/>
      <c r="THV13" s="319"/>
      <c r="THW13" s="319"/>
      <c r="THX13" s="319"/>
      <c r="THY13" s="319"/>
      <c r="THZ13" s="319"/>
      <c r="TIA13" s="319"/>
      <c r="TIB13" s="319"/>
      <c r="TIC13" s="319"/>
      <c r="TID13" s="319"/>
      <c r="TIE13" s="319"/>
      <c r="TIF13" s="319"/>
      <c r="TIG13" s="319"/>
      <c r="TIH13" s="319"/>
      <c r="TII13" s="319"/>
      <c r="TIJ13" s="319"/>
      <c r="TIK13" s="319"/>
      <c r="TIL13" s="319"/>
      <c r="TIM13" s="319"/>
      <c r="TIN13" s="319"/>
      <c r="TIO13" s="319"/>
      <c r="TIP13" s="319"/>
      <c r="TIQ13" s="319"/>
      <c r="TIR13" s="319"/>
      <c r="TIS13" s="319"/>
      <c r="TIT13" s="319"/>
      <c r="TIU13" s="319"/>
      <c r="TIV13" s="319"/>
      <c r="TIW13" s="319"/>
      <c r="TIX13" s="319"/>
      <c r="TIY13" s="319"/>
      <c r="TIZ13" s="319"/>
      <c r="TJA13" s="319"/>
      <c r="TJB13" s="319"/>
      <c r="TJC13" s="319"/>
      <c r="TJD13" s="319"/>
      <c r="TJE13" s="319"/>
      <c r="TJF13" s="319"/>
      <c r="TJG13" s="319"/>
      <c r="TJH13" s="319"/>
      <c r="TJI13" s="319"/>
      <c r="TJJ13" s="319"/>
      <c r="TJK13" s="319"/>
      <c r="TJL13" s="319"/>
      <c r="TJM13" s="319"/>
      <c r="TJN13" s="319"/>
      <c r="TJO13" s="319"/>
      <c r="TJP13" s="319"/>
      <c r="TJQ13" s="319"/>
      <c r="TJR13" s="319"/>
      <c r="TJS13" s="319"/>
      <c r="TJT13" s="319"/>
      <c r="TJU13" s="319"/>
      <c r="TJV13" s="319"/>
      <c r="TJW13" s="319"/>
      <c r="TJX13" s="319"/>
      <c r="TJY13" s="319"/>
      <c r="TJZ13" s="319"/>
      <c r="TKA13" s="319"/>
      <c r="TKB13" s="319"/>
      <c r="TKC13" s="319"/>
      <c r="TKD13" s="319"/>
      <c r="TKE13" s="319"/>
      <c r="TKF13" s="319"/>
      <c r="TKG13" s="319"/>
      <c r="TKH13" s="319"/>
      <c r="TKI13" s="319"/>
      <c r="TKJ13" s="319"/>
      <c r="TKK13" s="319"/>
      <c r="TKL13" s="319"/>
      <c r="TKM13" s="319"/>
      <c r="TKN13" s="319"/>
      <c r="TKO13" s="319"/>
      <c r="TKP13" s="319"/>
      <c r="TKQ13" s="319"/>
      <c r="TKR13" s="319"/>
      <c r="TKS13" s="319"/>
      <c r="TKT13" s="319"/>
      <c r="TKU13" s="319"/>
      <c r="TKV13" s="319"/>
      <c r="TKW13" s="319"/>
      <c r="TKX13" s="319"/>
      <c r="TKY13" s="319"/>
      <c r="TKZ13" s="319"/>
      <c r="TLA13" s="319"/>
      <c r="TLB13" s="319"/>
      <c r="TLC13" s="319"/>
      <c r="TLD13" s="319"/>
      <c r="TLE13" s="319"/>
      <c r="TLF13" s="319"/>
      <c r="TLG13" s="319"/>
      <c r="TLH13" s="319"/>
      <c r="TLI13" s="319"/>
      <c r="TLJ13" s="319"/>
      <c r="TLK13" s="319"/>
      <c r="TLL13" s="319"/>
      <c r="TLM13" s="319"/>
      <c r="TLN13" s="319"/>
      <c r="TLO13" s="319"/>
      <c r="TLP13" s="319"/>
      <c r="TLQ13" s="319"/>
      <c r="TLR13" s="319"/>
      <c r="TLS13" s="319"/>
      <c r="TLT13" s="319"/>
      <c r="TLU13" s="319"/>
      <c r="TLV13" s="319"/>
      <c r="TLW13" s="319"/>
      <c r="TLX13" s="319"/>
      <c r="TLY13" s="319"/>
      <c r="TLZ13" s="319"/>
      <c r="TMA13" s="319"/>
      <c r="TMB13" s="319"/>
      <c r="TMC13" s="319"/>
      <c r="TMD13" s="319"/>
      <c r="TME13" s="319"/>
      <c r="TMF13" s="319"/>
      <c r="TMG13" s="319"/>
      <c r="TMH13" s="319"/>
      <c r="TMI13" s="319"/>
      <c r="TMJ13" s="319"/>
      <c r="TMK13" s="319"/>
      <c r="TML13" s="319"/>
      <c r="TMM13" s="319"/>
      <c r="TMN13" s="319"/>
      <c r="TMO13" s="319"/>
      <c r="TMP13" s="319"/>
      <c r="TMQ13" s="319"/>
      <c r="TMR13" s="319"/>
      <c r="TMS13" s="319"/>
      <c r="TMT13" s="319"/>
      <c r="TMU13" s="319"/>
      <c r="TMV13" s="319"/>
      <c r="TMW13" s="319"/>
      <c r="TMX13" s="319"/>
      <c r="TMY13" s="319"/>
      <c r="TMZ13" s="319"/>
      <c r="TNA13" s="319"/>
      <c r="TNB13" s="319"/>
      <c r="TNC13" s="319"/>
      <c r="TND13" s="319"/>
      <c r="TNE13" s="319"/>
      <c r="TNF13" s="319"/>
      <c r="TNG13" s="319"/>
      <c r="TNH13" s="319"/>
      <c r="TNI13" s="319"/>
      <c r="TNJ13" s="319"/>
      <c r="TNK13" s="319"/>
      <c r="TNL13" s="319"/>
      <c r="TNM13" s="319"/>
      <c r="TNN13" s="319"/>
      <c r="TNO13" s="319"/>
      <c r="TNP13" s="319"/>
      <c r="TNQ13" s="319"/>
      <c r="TNR13" s="319"/>
      <c r="TNS13" s="319"/>
      <c r="TNT13" s="319"/>
      <c r="TNU13" s="319"/>
      <c r="TNV13" s="319"/>
      <c r="TNW13" s="319"/>
      <c r="TNX13" s="319"/>
      <c r="TNY13" s="319"/>
      <c r="TNZ13" s="319"/>
      <c r="TOA13" s="319"/>
      <c r="TOB13" s="319"/>
      <c r="TOC13" s="319"/>
      <c r="TOD13" s="319"/>
      <c r="TOE13" s="319"/>
      <c r="TOF13" s="319"/>
      <c r="TOG13" s="319"/>
      <c r="TOH13" s="319"/>
      <c r="TOI13" s="319"/>
      <c r="TOJ13" s="319"/>
      <c r="TOK13" s="319"/>
      <c r="TOL13" s="319"/>
      <c r="TOM13" s="319"/>
      <c r="TON13" s="319"/>
      <c r="TOO13" s="319"/>
      <c r="TOP13" s="319"/>
      <c r="TOQ13" s="319"/>
      <c r="TOR13" s="319"/>
      <c r="TOS13" s="319"/>
      <c r="TOT13" s="319"/>
      <c r="TOU13" s="319"/>
      <c r="TOV13" s="319"/>
      <c r="TOW13" s="319"/>
      <c r="TOX13" s="319"/>
      <c r="TOY13" s="319"/>
      <c r="TOZ13" s="319"/>
      <c r="TPA13" s="319"/>
      <c r="TPB13" s="319"/>
      <c r="TPC13" s="319"/>
      <c r="TPD13" s="319"/>
      <c r="TPE13" s="319"/>
      <c r="TPF13" s="319"/>
      <c r="TPG13" s="319"/>
      <c r="TPH13" s="319"/>
      <c r="TPI13" s="319"/>
      <c r="TPJ13" s="319"/>
      <c r="TPK13" s="319"/>
      <c r="TPL13" s="319"/>
      <c r="TPM13" s="319"/>
      <c r="TPN13" s="319"/>
      <c r="TPO13" s="319"/>
      <c r="TPP13" s="319"/>
      <c r="TPQ13" s="319"/>
      <c r="TPR13" s="319"/>
      <c r="TPS13" s="319"/>
      <c r="TPT13" s="319"/>
      <c r="TPU13" s="319"/>
      <c r="TPV13" s="319"/>
      <c r="TPW13" s="319"/>
      <c r="TPX13" s="319"/>
      <c r="TPY13" s="319"/>
      <c r="TPZ13" s="319"/>
      <c r="TQA13" s="319"/>
      <c r="TQB13" s="319"/>
      <c r="TQC13" s="319"/>
      <c r="TQD13" s="319"/>
      <c r="TQE13" s="319"/>
      <c r="TQF13" s="319"/>
      <c r="TQG13" s="319"/>
      <c r="TQH13" s="319"/>
      <c r="TQI13" s="319"/>
      <c r="TQJ13" s="319"/>
      <c r="TQK13" s="319"/>
      <c r="TQL13" s="319"/>
      <c r="TQM13" s="319"/>
      <c r="TQN13" s="319"/>
      <c r="TQO13" s="319"/>
      <c r="TQP13" s="319"/>
      <c r="TQQ13" s="319"/>
      <c r="TQR13" s="319"/>
      <c r="TQS13" s="319"/>
      <c r="TQT13" s="319"/>
      <c r="TQU13" s="319"/>
      <c r="TQV13" s="319"/>
      <c r="TQW13" s="319"/>
      <c r="TQX13" s="319"/>
      <c r="TQY13" s="319"/>
      <c r="TQZ13" s="319"/>
      <c r="TRA13" s="319"/>
      <c r="TRB13" s="319"/>
      <c r="TRC13" s="319"/>
      <c r="TRD13" s="319"/>
      <c r="TRE13" s="319"/>
      <c r="TRF13" s="319"/>
      <c r="TRG13" s="319"/>
      <c r="TRH13" s="319"/>
      <c r="TRI13" s="319"/>
      <c r="TRJ13" s="319"/>
      <c r="TRK13" s="319"/>
      <c r="TRL13" s="319"/>
      <c r="TRM13" s="319"/>
      <c r="TRN13" s="319"/>
      <c r="TRO13" s="319"/>
      <c r="TRP13" s="319"/>
      <c r="TRQ13" s="319"/>
      <c r="TRR13" s="319"/>
      <c r="TRS13" s="319"/>
      <c r="TRT13" s="319"/>
      <c r="TRU13" s="319"/>
      <c r="TRV13" s="319"/>
      <c r="TRW13" s="319"/>
      <c r="TRX13" s="319"/>
      <c r="TRY13" s="319"/>
      <c r="TRZ13" s="319"/>
      <c r="TSA13" s="319"/>
      <c r="TSB13" s="319"/>
      <c r="TSC13" s="319"/>
      <c r="TSD13" s="319"/>
      <c r="TSE13" s="319"/>
      <c r="TSF13" s="319"/>
      <c r="TSG13" s="319"/>
      <c r="TSH13" s="319"/>
      <c r="TSI13" s="319"/>
      <c r="TSJ13" s="319"/>
      <c r="TSK13" s="319"/>
      <c r="TSL13" s="319"/>
      <c r="TSM13" s="319"/>
      <c r="TSN13" s="319"/>
      <c r="TSO13" s="319"/>
      <c r="TSP13" s="319"/>
      <c r="TSQ13" s="319"/>
      <c r="TSR13" s="319"/>
      <c r="TSS13" s="319"/>
      <c r="TST13" s="319"/>
      <c r="TSU13" s="319"/>
      <c r="TSV13" s="319"/>
      <c r="TSW13" s="319"/>
      <c r="TSX13" s="319"/>
      <c r="TSY13" s="319"/>
      <c r="TSZ13" s="319"/>
      <c r="TTA13" s="319"/>
      <c r="TTB13" s="319"/>
      <c r="TTC13" s="319"/>
      <c r="TTD13" s="319"/>
      <c r="TTE13" s="319"/>
      <c r="TTF13" s="319"/>
      <c r="TTG13" s="319"/>
      <c r="TTH13" s="319"/>
      <c r="TTI13" s="319"/>
      <c r="TTJ13" s="319"/>
      <c r="TTK13" s="319"/>
      <c r="TTL13" s="319"/>
      <c r="TTM13" s="319"/>
      <c r="TTN13" s="319"/>
      <c r="TTO13" s="319"/>
      <c r="TTP13" s="319"/>
      <c r="TTQ13" s="319"/>
      <c r="TTR13" s="319"/>
      <c r="TTS13" s="319"/>
      <c r="TTT13" s="319"/>
      <c r="TTU13" s="319"/>
      <c r="TTV13" s="319"/>
      <c r="TTW13" s="319"/>
      <c r="TTX13" s="319"/>
      <c r="TTY13" s="319"/>
      <c r="TTZ13" s="319"/>
      <c r="TUA13" s="319"/>
      <c r="TUB13" s="319"/>
      <c r="TUC13" s="319"/>
      <c r="TUD13" s="319"/>
      <c r="TUE13" s="319"/>
      <c r="TUF13" s="319"/>
      <c r="TUG13" s="319"/>
      <c r="TUH13" s="319"/>
      <c r="TUI13" s="319"/>
      <c r="TUJ13" s="319"/>
      <c r="TUK13" s="319"/>
      <c r="TUL13" s="319"/>
      <c r="TUM13" s="319"/>
      <c r="TUN13" s="319"/>
      <c r="TUO13" s="319"/>
      <c r="TUP13" s="319"/>
      <c r="TUQ13" s="319"/>
      <c r="TUR13" s="319"/>
      <c r="TUS13" s="319"/>
      <c r="TUT13" s="319"/>
      <c r="TUU13" s="319"/>
      <c r="TUV13" s="319"/>
      <c r="TUW13" s="319"/>
      <c r="TUX13" s="319"/>
      <c r="TUY13" s="319"/>
      <c r="TUZ13" s="319"/>
      <c r="TVA13" s="319"/>
      <c r="TVB13" s="319"/>
      <c r="TVC13" s="319"/>
      <c r="TVD13" s="319"/>
      <c r="TVE13" s="319"/>
      <c r="TVF13" s="319"/>
      <c r="TVG13" s="319"/>
      <c r="TVH13" s="319"/>
      <c r="TVI13" s="319"/>
      <c r="TVJ13" s="319"/>
      <c r="TVK13" s="319"/>
      <c r="TVL13" s="319"/>
      <c r="TVM13" s="319"/>
      <c r="TVN13" s="319"/>
      <c r="TVO13" s="319"/>
      <c r="TVP13" s="319"/>
      <c r="TVQ13" s="319"/>
      <c r="TVR13" s="319"/>
      <c r="TVS13" s="319"/>
      <c r="TVT13" s="319"/>
      <c r="TVU13" s="319"/>
      <c r="TVV13" s="319"/>
      <c r="TVW13" s="319"/>
      <c r="TVX13" s="319"/>
      <c r="TVY13" s="319"/>
      <c r="TVZ13" s="319"/>
      <c r="TWA13" s="319"/>
      <c r="TWB13" s="319"/>
      <c r="TWC13" s="319"/>
      <c r="TWD13" s="319"/>
      <c r="TWE13" s="319"/>
      <c r="TWF13" s="319"/>
      <c r="TWG13" s="319"/>
      <c r="TWH13" s="319"/>
      <c r="TWI13" s="319"/>
      <c r="TWJ13" s="319"/>
      <c r="TWK13" s="319"/>
      <c r="TWL13" s="319"/>
      <c r="TWM13" s="319"/>
      <c r="TWN13" s="319"/>
      <c r="TWO13" s="319"/>
      <c r="TWP13" s="319"/>
      <c r="TWQ13" s="319"/>
      <c r="TWR13" s="319"/>
      <c r="TWS13" s="319"/>
      <c r="TWT13" s="319"/>
      <c r="TWU13" s="319"/>
      <c r="TWV13" s="319"/>
      <c r="TWW13" s="319"/>
      <c r="TWX13" s="319"/>
      <c r="TWY13" s="319"/>
      <c r="TWZ13" s="319"/>
      <c r="TXA13" s="319"/>
      <c r="TXB13" s="319"/>
      <c r="TXC13" s="319"/>
      <c r="TXD13" s="319"/>
      <c r="TXE13" s="319"/>
      <c r="TXF13" s="319"/>
      <c r="TXG13" s="319"/>
      <c r="TXH13" s="319"/>
      <c r="TXI13" s="319"/>
      <c r="TXJ13" s="319"/>
      <c r="TXK13" s="319"/>
      <c r="TXL13" s="319"/>
      <c r="TXM13" s="319"/>
      <c r="TXN13" s="319"/>
      <c r="TXO13" s="319"/>
      <c r="TXP13" s="319"/>
      <c r="TXQ13" s="319"/>
      <c r="TXR13" s="319"/>
      <c r="TXS13" s="319"/>
      <c r="TXT13" s="319"/>
      <c r="TXU13" s="319"/>
      <c r="TXV13" s="319"/>
      <c r="TXW13" s="319"/>
      <c r="TXX13" s="319"/>
      <c r="TXY13" s="319"/>
      <c r="TXZ13" s="319"/>
      <c r="TYA13" s="319"/>
      <c r="TYB13" s="319"/>
      <c r="TYC13" s="319"/>
      <c r="TYD13" s="319"/>
      <c r="TYE13" s="319"/>
      <c r="TYF13" s="319"/>
      <c r="TYG13" s="319"/>
      <c r="TYH13" s="319"/>
      <c r="TYI13" s="319"/>
      <c r="TYJ13" s="319"/>
      <c r="TYK13" s="319"/>
      <c r="TYL13" s="319"/>
      <c r="TYM13" s="319"/>
      <c r="TYN13" s="319"/>
      <c r="TYO13" s="319"/>
      <c r="TYP13" s="319"/>
      <c r="TYQ13" s="319"/>
      <c r="TYR13" s="319"/>
      <c r="TYS13" s="319"/>
      <c r="TYT13" s="319"/>
      <c r="TYU13" s="319"/>
      <c r="TYV13" s="319"/>
      <c r="TYW13" s="319"/>
      <c r="TYX13" s="319"/>
      <c r="TYY13" s="319"/>
      <c r="TYZ13" s="319"/>
      <c r="TZA13" s="319"/>
      <c r="TZB13" s="319"/>
      <c r="TZC13" s="319"/>
      <c r="TZD13" s="319"/>
      <c r="TZE13" s="319"/>
      <c r="TZF13" s="319"/>
      <c r="TZG13" s="319"/>
      <c r="TZH13" s="319"/>
      <c r="TZI13" s="319"/>
      <c r="TZJ13" s="319"/>
      <c r="TZK13" s="319"/>
      <c r="TZL13" s="319"/>
      <c r="TZM13" s="319"/>
      <c r="TZN13" s="319"/>
      <c r="TZO13" s="319"/>
      <c r="TZP13" s="319"/>
      <c r="TZQ13" s="319"/>
      <c r="TZR13" s="319"/>
      <c r="TZS13" s="319"/>
      <c r="TZT13" s="319"/>
      <c r="TZU13" s="319"/>
      <c r="TZV13" s="319"/>
      <c r="TZW13" s="319"/>
      <c r="TZX13" s="319"/>
      <c r="TZY13" s="319"/>
      <c r="TZZ13" s="319"/>
      <c r="UAA13" s="319"/>
      <c r="UAB13" s="319"/>
      <c r="UAC13" s="319"/>
      <c r="UAD13" s="319"/>
      <c r="UAE13" s="319"/>
      <c r="UAF13" s="319"/>
      <c r="UAG13" s="319"/>
      <c r="UAH13" s="319"/>
      <c r="UAI13" s="319"/>
      <c r="UAJ13" s="319"/>
      <c r="UAK13" s="319"/>
      <c r="UAL13" s="319"/>
      <c r="UAM13" s="319"/>
      <c r="UAN13" s="319"/>
      <c r="UAO13" s="319"/>
      <c r="UAP13" s="319"/>
      <c r="UAQ13" s="319"/>
      <c r="UAR13" s="319"/>
      <c r="UAS13" s="319"/>
      <c r="UAT13" s="319"/>
      <c r="UAU13" s="319"/>
      <c r="UAV13" s="319"/>
      <c r="UAW13" s="319"/>
      <c r="UAX13" s="319"/>
      <c r="UAY13" s="319"/>
      <c r="UAZ13" s="319"/>
      <c r="UBA13" s="319"/>
      <c r="UBB13" s="319"/>
      <c r="UBC13" s="319"/>
      <c r="UBD13" s="319"/>
      <c r="UBE13" s="319"/>
      <c r="UBF13" s="319"/>
      <c r="UBG13" s="319"/>
      <c r="UBH13" s="319"/>
      <c r="UBI13" s="319"/>
      <c r="UBJ13" s="319"/>
      <c r="UBK13" s="319"/>
      <c r="UBL13" s="319"/>
      <c r="UBM13" s="319"/>
      <c r="UBN13" s="319"/>
      <c r="UBO13" s="319"/>
      <c r="UBP13" s="319"/>
      <c r="UBQ13" s="319"/>
      <c r="UBR13" s="319"/>
      <c r="UBS13" s="319"/>
      <c r="UBT13" s="319"/>
      <c r="UBU13" s="319"/>
      <c r="UBV13" s="319"/>
      <c r="UBW13" s="319"/>
      <c r="UBX13" s="319"/>
      <c r="UBY13" s="319"/>
      <c r="UBZ13" s="319"/>
      <c r="UCA13" s="319"/>
      <c r="UCB13" s="319"/>
      <c r="UCC13" s="319"/>
      <c r="UCD13" s="319"/>
      <c r="UCE13" s="319"/>
      <c r="UCF13" s="319"/>
      <c r="UCG13" s="319"/>
      <c r="UCH13" s="319"/>
      <c r="UCI13" s="319"/>
      <c r="UCJ13" s="319"/>
      <c r="UCK13" s="319"/>
      <c r="UCL13" s="319"/>
      <c r="UCM13" s="319"/>
      <c r="UCN13" s="319"/>
      <c r="UCO13" s="319"/>
      <c r="UCP13" s="319"/>
      <c r="UCQ13" s="319"/>
      <c r="UCR13" s="319"/>
      <c r="UCS13" s="319"/>
      <c r="UCT13" s="319"/>
      <c r="UCU13" s="319"/>
      <c r="UCV13" s="319"/>
      <c r="UCW13" s="319"/>
      <c r="UCX13" s="319"/>
      <c r="UCY13" s="319"/>
      <c r="UCZ13" s="319"/>
      <c r="UDA13" s="319"/>
      <c r="UDB13" s="319"/>
      <c r="UDC13" s="319"/>
      <c r="UDD13" s="319"/>
      <c r="UDE13" s="319"/>
      <c r="UDF13" s="319"/>
      <c r="UDG13" s="319"/>
      <c r="UDH13" s="319"/>
      <c r="UDI13" s="319"/>
      <c r="UDJ13" s="319"/>
      <c r="UDK13" s="319"/>
      <c r="UDL13" s="319"/>
      <c r="UDM13" s="319"/>
      <c r="UDN13" s="319"/>
      <c r="UDO13" s="319"/>
      <c r="UDP13" s="319"/>
      <c r="UDQ13" s="319"/>
      <c r="UDR13" s="319"/>
      <c r="UDS13" s="319"/>
      <c r="UDT13" s="319"/>
      <c r="UDU13" s="319"/>
      <c r="UDV13" s="319"/>
      <c r="UDW13" s="319"/>
      <c r="UDX13" s="319"/>
      <c r="UDY13" s="319"/>
      <c r="UDZ13" s="319"/>
      <c r="UEA13" s="319"/>
      <c r="UEB13" s="319"/>
      <c r="UEC13" s="319"/>
      <c r="UED13" s="319"/>
      <c r="UEE13" s="319"/>
      <c r="UEF13" s="319"/>
      <c r="UEG13" s="319"/>
      <c r="UEH13" s="319"/>
      <c r="UEI13" s="319"/>
      <c r="UEJ13" s="319"/>
      <c r="UEK13" s="319"/>
      <c r="UEL13" s="319"/>
      <c r="UEM13" s="319"/>
      <c r="UEN13" s="319"/>
      <c r="UEO13" s="319"/>
      <c r="UEP13" s="319"/>
      <c r="UEQ13" s="319"/>
      <c r="UER13" s="319"/>
      <c r="UES13" s="319"/>
      <c r="UET13" s="319"/>
      <c r="UEU13" s="319"/>
      <c r="UEV13" s="319"/>
      <c r="UEW13" s="319"/>
      <c r="UEX13" s="319"/>
      <c r="UEY13" s="319"/>
      <c r="UEZ13" s="319"/>
      <c r="UFA13" s="319"/>
      <c r="UFB13" s="319"/>
      <c r="UFC13" s="319"/>
      <c r="UFD13" s="319"/>
      <c r="UFE13" s="319"/>
      <c r="UFF13" s="319"/>
      <c r="UFG13" s="319"/>
      <c r="UFH13" s="319"/>
      <c r="UFI13" s="319"/>
      <c r="UFJ13" s="319"/>
      <c r="UFK13" s="319"/>
      <c r="UFL13" s="319"/>
      <c r="UFM13" s="319"/>
      <c r="UFN13" s="319"/>
      <c r="UFO13" s="319"/>
      <c r="UFP13" s="319"/>
      <c r="UFQ13" s="319"/>
      <c r="UFR13" s="319"/>
      <c r="UFS13" s="319"/>
      <c r="UFT13" s="319"/>
      <c r="UFU13" s="319"/>
      <c r="UFV13" s="319"/>
      <c r="UFW13" s="319"/>
      <c r="UFX13" s="319"/>
      <c r="UFY13" s="319"/>
      <c r="UFZ13" s="319"/>
      <c r="UGA13" s="319"/>
      <c r="UGB13" s="319"/>
      <c r="UGC13" s="319"/>
      <c r="UGD13" s="319"/>
      <c r="UGE13" s="319"/>
      <c r="UGF13" s="319"/>
      <c r="UGG13" s="319"/>
      <c r="UGH13" s="319"/>
      <c r="UGI13" s="319"/>
      <c r="UGJ13" s="319"/>
      <c r="UGK13" s="319"/>
      <c r="UGL13" s="319"/>
      <c r="UGM13" s="319"/>
      <c r="UGN13" s="319"/>
      <c r="UGO13" s="319"/>
      <c r="UGP13" s="319"/>
      <c r="UGQ13" s="319"/>
      <c r="UGR13" s="319"/>
      <c r="UGS13" s="319"/>
      <c r="UGT13" s="319"/>
      <c r="UGU13" s="319"/>
      <c r="UGV13" s="319"/>
      <c r="UGW13" s="319"/>
      <c r="UGX13" s="319"/>
      <c r="UGY13" s="319"/>
      <c r="UGZ13" s="319"/>
      <c r="UHA13" s="319"/>
      <c r="UHB13" s="319"/>
      <c r="UHC13" s="319"/>
      <c r="UHD13" s="319"/>
      <c r="UHE13" s="319"/>
      <c r="UHF13" s="319"/>
      <c r="UHG13" s="319"/>
      <c r="UHH13" s="319"/>
      <c r="UHI13" s="319"/>
      <c r="UHJ13" s="319"/>
      <c r="UHK13" s="319"/>
      <c r="UHL13" s="319"/>
      <c r="UHM13" s="319"/>
      <c r="UHN13" s="319"/>
      <c r="UHO13" s="319"/>
      <c r="UHP13" s="319"/>
      <c r="UHQ13" s="319"/>
      <c r="UHR13" s="319"/>
      <c r="UHS13" s="319"/>
      <c r="UHT13" s="319"/>
      <c r="UHU13" s="319"/>
      <c r="UHV13" s="319"/>
      <c r="UHW13" s="319"/>
      <c r="UHX13" s="319"/>
      <c r="UHY13" s="319"/>
      <c r="UHZ13" s="319"/>
      <c r="UIA13" s="319"/>
      <c r="UIB13" s="319"/>
      <c r="UIC13" s="319"/>
      <c r="UID13" s="319"/>
      <c r="UIE13" s="319"/>
      <c r="UIF13" s="319"/>
      <c r="UIG13" s="319"/>
      <c r="UIH13" s="319"/>
      <c r="UII13" s="319"/>
      <c r="UIJ13" s="319"/>
      <c r="UIK13" s="319"/>
      <c r="UIL13" s="319"/>
      <c r="UIM13" s="319"/>
      <c r="UIN13" s="319"/>
      <c r="UIO13" s="319"/>
      <c r="UIP13" s="319"/>
      <c r="UIQ13" s="319"/>
      <c r="UIR13" s="319"/>
      <c r="UIS13" s="319"/>
      <c r="UIT13" s="319"/>
      <c r="UIU13" s="319"/>
      <c r="UIV13" s="319"/>
      <c r="UIW13" s="319"/>
      <c r="UIX13" s="319"/>
      <c r="UIY13" s="319"/>
      <c r="UIZ13" s="319"/>
      <c r="UJA13" s="319"/>
      <c r="UJB13" s="319"/>
      <c r="UJC13" s="319"/>
      <c r="UJD13" s="319"/>
      <c r="UJE13" s="319"/>
      <c r="UJF13" s="319"/>
      <c r="UJG13" s="319"/>
      <c r="UJH13" s="319"/>
      <c r="UJI13" s="319"/>
      <c r="UJJ13" s="319"/>
      <c r="UJK13" s="319"/>
      <c r="UJL13" s="319"/>
      <c r="UJM13" s="319"/>
      <c r="UJN13" s="319"/>
      <c r="UJO13" s="319"/>
      <c r="UJP13" s="319"/>
      <c r="UJQ13" s="319"/>
      <c r="UJR13" s="319"/>
      <c r="UJS13" s="319"/>
      <c r="UJT13" s="319"/>
      <c r="UJU13" s="319"/>
      <c r="UJV13" s="319"/>
      <c r="UJW13" s="319"/>
      <c r="UJX13" s="319"/>
      <c r="UJY13" s="319"/>
      <c r="UJZ13" s="319"/>
      <c r="UKA13" s="319"/>
      <c r="UKB13" s="319"/>
      <c r="UKC13" s="319"/>
      <c r="UKD13" s="319"/>
      <c r="UKE13" s="319"/>
      <c r="UKF13" s="319"/>
      <c r="UKG13" s="319"/>
      <c r="UKH13" s="319"/>
      <c r="UKI13" s="319"/>
      <c r="UKJ13" s="319"/>
      <c r="UKK13" s="319"/>
      <c r="UKL13" s="319"/>
      <c r="UKM13" s="319"/>
      <c r="UKN13" s="319"/>
      <c r="UKO13" s="319"/>
      <c r="UKP13" s="319"/>
      <c r="UKQ13" s="319"/>
      <c r="UKR13" s="319"/>
      <c r="UKS13" s="319"/>
      <c r="UKT13" s="319"/>
      <c r="UKU13" s="319"/>
      <c r="UKV13" s="319"/>
      <c r="UKW13" s="319"/>
      <c r="UKX13" s="319"/>
      <c r="UKY13" s="319"/>
      <c r="UKZ13" s="319"/>
      <c r="ULA13" s="319"/>
      <c r="ULB13" s="319"/>
      <c r="ULC13" s="319"/>
      <c r="ULD13" s="319"/>
      <c r="ULE13" s="319"/>
      <c r="ULF13" s="319"/>
      <c r="ULG13" s="319"/>
      <c r="ULH13" s="319"/>
      <c r="ULI13" s="319"/>
      <c r="ULJ13" s="319"/>
      <c r="ULK13" s="319"/>
      <c r="ULL13" s="319"/>
      <c r="ULM13" s="319"/>
      <c r="ULN13" s="319"/>
      <c r="ULO13" s="319"/>
      <c r="ULP13" s="319"/>
      <c r="ULQ13" s="319"/>
      <c r="ULR13" s="319"/>
      <c r="ULS13" s="319"/>
      <c r="ULT13" s="319"/>
      <c r="ULU13" s="319"/>
      <c r="ULV13" s="319"/>
      <c r="ULW13" s="319"/>
      <c r="ULX13" s="319"/>
      <c r="ULY13" s="319"/>
      <c r="ULZ13" s="319"/>
      <c r="UMA13" s="319"/>
      <c r="UMB13" s="319"/>
      <c r="UMC13" s="319"/>
      <c r="UMD13" s="319"/>
      <c r="UME13" s="319"/>
      <c r="UMF13" s="319"/>
      <c r="UMG13" s="319"/>
      <c r="UMH13" s="319"/>
      <c r="UMI13" s="319"/>
      <c r="UMJ13" s="319"/>
      <c r="UMK13" s="319"/>
      <c r="UML13" s="319"/>
      <c r="UMM13" s="319"/>
      <c r="UMN13" s="319"/>
      <c r="UMO13" s="319"/>
      <c r="UMP13" s="319"/>
      <c r="UMQ13" s="319"/>
      <c r="UMR13" s="319"/>
      <c r="UMS13" s="319"/>
      <c r="UMT13" s="319"/>
      <c r="UMU13" s="319"/>
      <c r="UMV13" s="319"/>
      <c r="UMW13" s="319"/>
      <c r="UMX13" s="319"/>
      <c r="UMY13" s="319"/>
      <c r="UMZ13" s="319"/>
      <c r="UNA13" s="319"/>
      <c r="UNB13" s="319"/>
      <c r="UNC13" s="319"/>
      <c r="UND13" s="319"/>
      <c r="UNE13" s="319"/>
      <c r="UNF13" s="319"/>
      <c r="UNG13" s="319"/>
      <c r="UNH13" s="319"/>
      <c r="UNI13" s="319"/>
      <c r="UNJ13" s="319"/>
      <c r="UNK13" s="319"/>
      <c r="UNL13" s="319"/>
      <c r="UNM13" s="319"/>
      <c r="UNN13" s="319"/>
      <c r="UNO13" s="319"/>
      <c r="UNP13" s="319"/>
      <c r="UNQ13" s="319"/>
      <c r="UNR13" s="319"/>
      <c r="UNS13" s="319"/>
      <c r="UNT13" s="319"/>
      <c r="UNU13" s="319"/>
      <c r="UNV13" s="319"/>
      <c r="UNW13" s="319"/>
      <c r="UNX13" s="319"/>
      <c r="UNY13" s="319"/>
      <c r="UNZ13" s="319"/>
      <c r="UOA13" s="319"/>
      <c r="UOB13" s="319"/>
      <c r="UOC13" s="319"/>
      <c r="UOD13" s="319"/>
      <c r="UOE13" s="319"/>
      <c r="UOF13" s="319"/>
      <c r="UOG13" s="319"/>
      <c r="UOH13" s="319"/>
      <c r="UOI13" s="319"/>
      <c r="UOJ13" s="319"/>
      <c r="UOK13" s="319"/>
      <c r="UOL13" s="319"/>
      <c r="UOM13" s="319"/>
      <c r="UON13" s="319"/>
      <c r="UOO13" s="319"/>
      <c r="UOP13" s="319"/>
      <c r="UOQ13" s="319"/>
      <c r="UOR13" s="319"/>
      <c r="UOS13" s="319"/>
      <c r="UOT13" s="319"/>
      <c r="UOU13" s="319"/>
      <c r="UOV13" s="319"/>
      <c r="UOW13" s="319"/>
      <c r="UOX13" s="319"/>
      <c r="UOY13" s="319"/>
      <c r="UOZ13" s="319"/>
      <c r="UPA13" s="319"/>
      <c r="UPB13" s="319"/>
      <c r="UPC13" s="319"/>
      <c r="UPD13" s="319"/>
      <c r="UPE13" s="319"/>
      <c r="UPF13" s="319"/>
      <c r="UPG13" s="319"/>
      <c r="UPH13" s="319"/>
      <c r="UPI13" s="319"/>
      <c r="UPJ13" s="319"/>
      <c r="UPK13" s="319"/>
      <c r="UPL13" s="319"/>
      <c r="UPM13" s="319"/>
      <c r="UPN13" s="319"/>
      <c r="UPO13" s="319"/>
      <c r="UPP13" s="319"/>
      <c r="UPQ13" s="319"/>
      <c r="UPR13" s="319"/>
      <c r="UPS13" s="319"/>
      <c r="UPT13" s="319"/>
      <c r="UPU13" s="319"/>
      <c r="UPV13" s="319"/>
      <c r="UPW13" s="319"/>
      <c r="UPX13" s="319"/>
      <c r="UPY13" s="319"/>
      <c r="UPZ13" s="319"/>
      <c r="UQA13" s="319"/>
      <c r="UQB13" s="319"/>
      <c r="UQC13" s="319"/>
      <c r="UQD13" s="319"/>
      <c r="UQE13" s="319"/>
      <c r="UQF13" s="319"/>
      <c r="UQG13" s="319"/>
      <c r="UQH13" s="319"/>
      <c r="UQI13" s="319"/>
      <c r="UQJ13" s="319"/>
      <c r="UQK13" s="319"/>
      <c r="UQL13" s="319"/>
      <c r="UQM13" s="319"/>
      <c r="UQN13" s="319"/>
      <c r="UQO13" s="319"/>
      <c r="UQP13" s="319"/>
      <c r="UQQ13" s="319"/>
      <c r="UQR13" s="319"/>
      <c r="UQS13" s="319"/>
      <c r="UQT13" s="319"/>
      <c r="UQU13" s="319"/>
      <c r="UQV13" s="319"/>
      <c r="UQW13" s="319"/>
      <c r="UQX13" s="319"/>
      <c r="UQY13" s="319"/>
      <c r="UQZ13" s="319"/>
      <c r="URA13" s="319"/>
      <c r="URB13" s="319"/>
      <c r="URC13" s="319"/>
      <c r="URD13" s="319"/>
      <c r="URE13" s="319"/>
      <c r="URF13" s="319"/>
      <c r="URG13" s="319"/>
      <c r="URH13" s="319"/>
      <c r="URI13" s="319"/>
      <c r="URJ13" s="319"/>
      <c r="URK13" s="319"/>
      <c r="URL13" s="319"/>
      <c r="URM13" s="319"/>
      <c r="URN13" s="319"/>
      <c r="URO13" s="319"/>
      <c r="URP13" s="319"/>
      <c r="URQ13" s="319"/>
      <c r="URR13" s="319"/>
      <c r="URS13" s="319"/>
      <c r="URT13" s="319"/>
      <c r="URU13" s="319"/>
      <c r="URV13" s="319"/>
      <c r="URW13" s="319"/>
      <c r="URX13" s="319"/>
      <c r="URY13" s="319"/>
      <c r="URZ13" s="319"/>
      <c r="USA13" s="319"/>
      <c r="USB13" s="319"/>
      <c r="USC13" s="319"/>
      <c r="USD13" s="319"/>
      <c r="USE13" s="319"/>
      <c r="USF13" s="319"/>
      <c r="USG13" s="319"/>
      <c r="USH13" s="319"/>
      <c r="USI13" s="319"/>
      <c r="USJ13" s="319"/>
      <c r="USK13" s="319"/>
      <c r="USL13" s="319"/>
      <c r="USM13" s="319"/>
      <c r="USN13" s="319"/>
      <c r="USO13" s="319"/>
      <c r="USP13" s="319"/>
      <c r="USQ13" s="319"/>
      <c r="USR13" s="319"/>
      <c r="USS13" s="319"/>
      <c r="UST13" s="319"/>
      <c r="USU13" s="319"/>
      <c r="USV13" s="319"/>
      <c r="USW13" s="319"/>
      <c r="USX13" s="319"/>
      <c r="USY13" s="319"/>
      <c r="USZ13" s="319"/>
      <c r="UTA13" s="319"/>
      <c r="UTB13" s="319"/>
      <c r="UTC13" s="319"/>
      <c r="UTD13" s="319"/>
      <c r="UTE13" s="319"/>
      <c r="UTF13" s="319"/>
      <c r="UTG13" s="319"/>
      <c r="UTH13" s="319"/>
      <c r="UTI13" s="319"/>
      <c r="UTJ13" s="319"/>
      <c r="UTK13" s="319"/>
      <c r="UTL13" s="319"/>
      <c r="UTM13" s="319"/>
      <c r="UTN13" s="319"/>
      <c r="UTO13" s="319"/>
      <c r="UTP13" s="319"/>
      <c r="UTQ13" s="319"/>
      <c r="UTR13" s="319"/>
      <c r="UTS13" s="319"/>
      <c r="UTT13" s="319"/>
      <c r="UTU13" s="319"/>
      <c r="UTV13" s="319"/>
      <c r="UTW13" s="319"/>
      <c r="UTX13" s="319"/>
      <c r="UTY13" s="319"/>
      <c r="UTZ13" s="319"/>
      <c r="UUA13" s="319"/>
      <c r="UUB13" s="319"/>
      <c r="UUC13" s="319"/>
      <c r="UUD13" s="319"/>
      <c r="UUE13" s="319"/>
      <c r="UUF13" s="319"/>
      <c r="UUG13" s="319"/>
      <c r="UUH13" s="319"/>
      <c r="UUI13" s="319"/>
      <c r="UUJ13" s="319"/>
      <c r="UUK13" s="319"/>
      <c r="UUL13" s="319"/>
      <c r="UUM13" s="319"/>
      <c r="UUN13" s="319"/>
      <c r="UUO13" s="319"/>
      <c r="UUP13" s="319"/>
      <c r="UUQ13" s="319"/>
      <c r="UUR13" s="319"/>
      <c r="UUS13" s="319"/>
      <c r="UUT13" s="319"/>
      <c r="UUU13" s="319"/>
      <c r="UUV13" s="319"/>
      <c r="UUW13" s="319"/>
      <c r="UUX13" s="319"/>
      <c r="UUY13" s="319"/>
      <c r="UUZ13" s="319"/>
      <c r="UVA13" s="319"/>
      <c r="UVB13" s="319"/>
      <c r="UVC13" s="319"/>
      <c r="UVD13" s="319"/>
      <c r="UVE13" s="319"/>
      <c r="UVF13" s="319"/>
      <c r="UVG13" s="319"/>
      <c r="UVH13" s="319"/>
      <c r="UVI13" s="319"/>
      <c r="UVJ13" s="319"/>
      <c r="UVK13" s="319"/>
      <c r="UVL13" s="319"/>
      <c r="UVM13" s="319"/>
      <c r="UVN13" s="319"/>
      <c r="UVO13" s="319"/>
      <c r="UVP13" s="319"/>
      <c r="UVQ13" s="319"/>
      <c r="UVR13" s="319"/>
      <c r="UVS13" s="319"/>
      <c r="UVT13" s="319"/>
      <c r="UVU13" s="319"/>
      <c r="UVV13" s="319"/>
      <c r="UVW13" s="319"/>
      <c r="UVX13" s="319"/>
      <c r="UVY13" s="319"/>
      <c r="UVZ13" s="319"/>
      <c r="UWA13" s="319"/>
      <c r="UWB13" s="319"/>
      <c r="UWC13" s="319"/>
      <c r="UWD13" s="319"/>
      <c r="UWE13" s="319"/>
      <c r="UWF13" s="319"/>
      <c r="UWG13" s="319"/>
      <c r="UWH13" s="319"/>
      <c r="UWI13" s="319"/>
      <c r="UWJ13" s="319"/>
      <c r="UWK13" s="319"/>
      <c r="UWL13" s="319"/>
      <c r="UWM13" s="319"/>
      <c r="UWN13" s="319"/>
      <c r="UWO13" s="319"/>
      <c r="UWP13" s="319"/>
      <c r="UWQ13" s="319"/>
      <c r="UWR13" s="319"/>
      <c r="UWS13" s="319"/>
      <c r="UWT13" s="319"/>
      <c r="UWU13" s="319"/>
      <c r="UWV13" s="319"/>
      <c r="UWW13" s="319"/>
      <c r="UWX13" s="319"/>
      <c r="UWY13" s="319"/>
      <c r="UWZ13" s="319"/>
      <c r="UXA13" s="319"/>
      <c r="UXB13" s="319"/>
      <c r="UXC13" s="319"/>
      <c r="UXD13" s="319"/>
      <c r="UXE13" s="319"/>
      <c r="UXF13" s="319"/>
      <c r="UXG13" s="319"/>
      <c r="UXH13" s="319"/>
      <c r="UXI13" s="319"/>
      <c r="UXJ13" s="319"/>
      <c r="UXK13" s="319"/>
      <c r="UXL13" s="319"/>
      <c r="UXM13" s="319"/>
      <c r="UXN13" s="319"/>
      <c r="UXO13" s="319"/>
      <c r="UXP13" s="319"/>
      <c r="UXQ13" s="319"/>
      <c r="UXR13" s="319"/>
      <c r="UXS13" s="319"/>
      <c r="UXT13" s="319"/>
      <c r="UXU13" s="319"/>
      <c r="UXV13" s="319"/>
      <c r="UXW13" s="319"/>
      <c r="UXX13" s="319"/>
      <c r="UXY13" s="319"/>
      <c r="UXZ13" s="319"/>
      <c r="UYA13" s="319"/>
      <c r="UYB13" s="319"/>
      <c r="UYC13" s="319"/>
      <c r="UYD13" s="319"/>
      <c r="UYE13" s="319"/>
      <c r="UYF13" s="319"/>
      <c r="UYG13" s="319"/>
      <c r="UYH13" s="319"/>
      <c r="UYI13" s="319"/>
      <c r="UYJ13" s="319"/>
      <c r="UYK13" s="319"/>
      <c r="UYL13" s="319"/>
      <c r="UYM13" s="319"/>
      <c r="UYN13" s="319"/>
      <c r="UYO13" s="319"/>
      <c r="UYP13" s="319"/>
      <c r="UYQ13" s="319"/>
      <c r="UYR13" s="319"/>
      <c r="UYS13" s="319"/>
      <c r="UYT13" s="319"/>
      <c r="UYU13" s="319"/>
      <c r="UYV13" s="319"/>
      <c r="UYW13" s="319"/>
      <c r="UYX13" s="319"/>
      <c r="UYY13" s="319"/>
      <c r="UYZ13" s="319"/>
      <c r="UZA13" s="319"/>
      <c r="UZB13" s="319"/>
      <c r="UZC13" s="319"/>
      <c r="UZD13" s="319"/>
      <c r="UZE13" s="319"/>
      <c r="UZF13" s="319"/>
      <c r="UZG13" s="319"/>
      <c r="UZH13" s="319"/>
      <c r="UZI13" s="319"/>
      <c r="UZJ13" s="319"/>
      <c r="UZK13" s="319"/>
      <c r="UZL13" s="319"/>
      <c r="UZM13" s="319"/>
      <c r="UZN13" s="319"/>
      <c r="UZO13" s="319"/>
      <c r="UZP13" s="319"/>
      <c r="UZQ13" s="319"/>
      <c r="UZR13" s="319"/>
      <c r="UZS13" s="319"/>
      <c r="UZT13" s="319"/>
      <c r="UZU13" s="319"/>
      <c r="UZV13" s="319"/>
      <c r="UZW13" s="319"/>
      <c r="UZX13" s="319"/>
      <c r="UZY13" s="319"/>
      <c r="UZZ13" s="319"/>
      <c r="VAA13" s="319"/>
      <c r="VAB13" s="319"/>
      <c r="VAC13" s="319"/>
      <c r="VAD13" s="319"/>
      <c r="VAE13" s="319"/>
      <c r="VAF13" s="319"/>
      <c r="VAG13" s="319"/>
      <c r="VAH13" s="319"/>
      <c r="VAI13" s="319"/>
      <c r="VAJ13" s="319"/>
      <c r="VAK13" s="319"/>
      <c r="VAL13" s="319"/>
      <c r="VAM13" s="319"/>
      <c r="VAN13" s="319"/>
      <c r="VAO13" s="319"/>
      <c r="VAP13" s="319"/>
      <c r="VAQ13" s="319"/>
      <c r="VAR13" s="319"/>
      <c r="VAS13" s="319"/>
      <c r="VAT13" s="319"/>
      <c r="VAU13" s="319"/>
      <c r="VAV13" s="319"/>
      <c r="VAW13" s="319"/>
      <c r="VAX13" s="319"/>
      <c r="VAY13" s="319"/>
      <c r="VAZ13" s="319"/>
      <c r="VBA13" s="319"/>
      <c r="VBB13" s="319"/>
      <c r="VBC13" s="319"/>
      <c r="VBD13" s="319"/>
      <c r="VBE13" s="319"/>
      <c r="VBF13" s="319"/>
      <c r="VBG13" s="319"/>
      <c r="VBH13" s="319"/>
      <c r="VBI13" s="319"/>
      <c r="VBJ13" s="319"/>
      <c r="VBK13" s="319"/>
      <c r="VBL13" s="319"/>
      <c r="VBM13" s="319"/>
      <c r="VBN13" s="319"/>
      <c r="VBO13" s="319"/>
      <c r="VBP13" s="319"/>
      <c r="VBQ13" s="319"/>
      <c r="VBR13" s="319"/>
      <c r="VBS13" s="319"/>
      <c r="VBT13" s="319"/>
      <c r="VBU13" s="319"/>
      <c r="VBV13" s="319"/>
      <c r="VBW13" s="319"/>
      <c r="VBX13" s="319"/>
      <c r="VBY13" s="319"/>
      <c r="VBZ13" s="319"/>
      <c r="VCA13" s="319"/>
      <c r="VCB13" s="319"/>
      <c r="VCC13" s="319"/>
      <c r="VCD13" s="319"/>
      <c r="VCE13" s="319"/>
      <c r="VCF13" s="319"/>
      <c r="VCG13" s="319"/>
      <c r="VCH13" s="319"/>
      <c r="VCI13" s="319"/>
      <c r="VCJ13" s="319"/>
      <c r="VCK13" s="319"/>
      <c r="VCL13" s="319"/>
      <c r="VCM13" s="319"/>
      <c r="VCN13" s="319"/>
      <c r="VCO13" s="319"/>
      <c r="VCP13" s="319"/>
      <c r="VCQ13" s="319"/>
      <c r="VCR13" s="319"/>
      <c r="VCS13" s="319"/>
      <c r="VCT13" s="319"/>
      <c r="VCU13" s="319"/>
      <c r="VCV13" s="319"/>
      <c r="VCW13" s="319"/>
      <c r="VCX13" s="319"/>
      <c r="VCY13" s="319"/>
      <c r="VCZ13" s="319"/>
      <c r="VDA13" s="319"/>
      <c r="VDB13" s="319"/>
      <c r="VDC13" s="319"/>
      <c r="VDD13" s="319"/>
      <c r="VDE13" s="319"/>
      <c r="VDF13" s="319"/>
      <c r="VDG13" s="319"/>
      <c r="VDH13" s="319"/>
      <c r="VDI13" s="319"/>
      <c r="VDJ13" s="319"/>
      <c r="VDK13" s="319"/>
      <c r="VDL13" s="319"/>
      <c r="VDM13" s="319"/>
      <c r="VDN13" s="319"/>
      <c r="VDO13" s="319"/>
      <c r="VDP13" s="319"/>
      <c r="VDQ13" s="319"/>
      <c r="VDR13" s="319"/>
      <c r="VDS13" s="319"/>
      <c r="VDT13" s="319"/>
      <c r="VDU13" s="319"/>
      <c r="VDV13" s="319"/>
      <c r="VDW13" s="319"/>
      <c r="VDX13" s="319"/>
      <c r="VDY13" s="319"/>
      <c r="VDZ13" s="319"/>
      <c r="VEA13" s="319"/>
      <c r="VEB13" s="319"/>
      <c r="VEC13" s="319"/>
      <c r="VED13" s="319"/>
      <c r="VEE13" s="319"/>
      <c r="VEF13" s="319"/>
      <c r="VEG13" s="319"/>
      <c r="VEH13" s="319"/>
      <c r="VEI13" s="319"/>
      <c r="VEJ13" s="319"/>
      <c r="VEK13" s="319"/>
      <c r="VEL13" s="319"/>
      <c r="VEM13" s="319"/>
      <c r="VEN13" s="319"/>
      <c r="VEO13" s="319"/>
      <c r="VEP13" s="319"/>
      <c r="VEQ13" s="319"/>
      <c r="VER13" s="319"/>
      <c r="VES13" s="319"/>
      <c r="VET13" s="319"/>
      <c r="VEU13" s="319"/>
      <c r="VEV13" s="319"/>
      <c r="VEW13" s="319"/>
      <c r="VEX13" s="319"/>
      <c r="VEY13" s="319"/>
      <c r="VEZ13" s="319"/>
      <c r="VFA13" s="319"/>
      <c r="VFB13" s="319"/>
      <c r="VFC13" s="319"/>
      <c r="VFD13" s="319"/>
      <c r="VFE13" s="319"/>
      <c r="VFF13" s="319"/>
      <c r="VFG13" s="319"/>
      <c r="VFH13" s="319"/>
      <c r="VFI13" s="319"/>
      <c r="VFJ13" s="319"/>
      <c r="VFK13" s="319"/>
      <c r="VFL13" s="319"/>
      <c r="VFM13" s="319"/>
      <c r="VFN13" s="319"/>
      <c r="VFO13" s="319"/>
      <c r="VFP13" s="319"/>
      <c r="VFQ13" s="319"/>
      <c r="VFR13" s="319"/>
      <c r="VFS13" s="319"/>
      <c r="VFT13" s="319"/>
      <c r="VFU13" s="319"/>
      <c r="VFV13" s="319"/>
      <c r="VFW13" s="319"/>
      <c r="VFX13" s="319"/>
      <c r="VFY13" s="319"/>
      <c r="VFZ13" s="319"/>
      <c r="VGA13" s="319"/>
      <c r="VGB13" s="319"/>
      <c r="VGC13" s="319"/>
      <c r="VGD13" s="319"/>
      <c r="VGE13" s="319"/>
      <c r="VGF13" s="319"/>
      <c r="VGG13" s="319"/>
      <c r="VGH13" s="319"/>
      <c r="VGI13" s="319"/>
      <c r="VGJ13" s="319"/>
      <c r="VGK13" s="319"/>
      <c r="VGL13" s="319"/>
      <c r="VGM13" s="319"/>
      <c r="VGN13" s="319"/>
      <c r="VGO13" s="319"/>
      <c r="VGP13" s="319"/>
      <c r="VGQ13" s="319"/>
      <c r="VGR13" s="319"/>
      <c r="VGS13" s="319"/>
      <c r="VGT13" s="319"/>
      <c r="VGU13" s="319"/>
      <c r="VGV13" s="319"/>
      <c r="VGW13" s="319"/>
      <c r="VGX13" s="319"/>
      <c r="VGY13" s="319"/>
      <c r="VGZ13" s="319"/>
      <c r="VHA13" s="319"/>
      <c r="VHB13" s="319"/>
      <c r="VHC13" s="319"/>
      <c r="VHD13" s="319"/>
      <c r="VHE13" s="319"/>
      <c r="VHF13" s="319"/>
      <c r="VHG13" s="319"/>
      <c r="VHH13" s="319"/>
      <c r="VHI13" s="319"/>
      <c r="VHJ13" s="319"/>
      <c r="VHK13" s="319"/>
      <c r="VHL13" s="319"/>
      <c r="VHM13" s="319"/>
      <c r="VHN13" s="319"/>
      <c r="VHO13" s="319"/>
      <c r="VHP13" s="319"/>
      <c r="VHQ13" s="319"/>
      <c r="VHR13" s="319"/>
      <c r="VHS13" s="319"/>
      <c r="VHT13" s="319"/>
      <c r="VHU13" s="319"/>
      <c r="VHV13" s="319"/>
      <c r="VHW13" s="319"/>
      <c r="VHX13" s="319"/>
      <c r="VHY13" s="319"/>
      <c r="VHZ13" s="319"/>
      <c r="VIA13" s="319"/>
      <c r="VIB13" s="319"/>
      <c r="VIC13" s="319"/>
      <c r="VID13" s="319"/>
      <c r="VIE13" s="319"/>
      <c r="VIF13" s="319"/>
      <c r="VIG13" s="319"/>
      <c r="VIH13" s="319"/>
      <c r="VII13" s="319"/>
      <c r="VIJ13" s="319"/>
      <c r="VIK13" s="319"/>
      <c r="VIL13" s="319"/>
      <c r="VIM13" s="319"/>
      <c r="VIN13" s="319"/>
      <c r="VIO13" s="319"/>
      <c r="VIP13" s="319"/>
      <c r="VIQ13" s="319"/>
      <c r="VIR13" s="319"/>
      <c r="VIS13" s="319"/>
      <c r="VIT13" s="319"/>
      <c r="VIU13" s="319"/>
      <c r="VIV13" s="319"/>
      <c r="VIW13" s="319"/>
      <c r="VIX13" s="319"/>
      <c r="VIY13" s="319"/>
      <c r="VIZ13" s="319"/>
      <c r="VJA13" s="319"/>
      <c r="VJB13" s="319"/>
      <c r="VJC13" s="319"/>
      <c r="VJD13" s="319"/>
      <c r="VJE13" s="319"/>
      <c r="VJF13" s="319"/>
      <c r="VJG13" s="319"/>
      <c r="VJH13" s="319"/>
      <c r="VJI13" s="319"/>
      <c r="VJJ13" s="319"/>
      <c r="VJK13" s="319"/>
      <c r="VJL13" s="319"/>
      <c r="VJM13" s="319"/>
      <c r="VJN13" s="319"/>
      <c r="VJO13" s="319"/>
      <c r="VJP13" s="319"/>
      <c r="VJQ13" s="319"/>
      <c r="VJR13" s="319"/>
      <c r="VJS13" s="319"/>
      <c r="VJT13" s="319"/>
      <c r="VJU13" s="319"/>
      <c r="VJV13" s="319"/>
      <c r="VJW13" s="319"/>
      <c r="VJX13" s="319"/>
      <c r="VJY13" s="319"/>
      <c r="VJZ13" s="319"/>
      <c r="VKA13" s="319"/>
      <c r="VKB13" s="319"/>
      <c r="VKC13" s="319"/>
      <c r="VKD13" s="319"/>
      <c r="VKE13" s="319"/>
      <c r="VKF13" s="319"/>
      <c r="VKG13" s="319"/>
      <c r="VKH13" s="319"/>
      <c r="VKI13" s="319"/>
      <c r="VKJ13" s="319"/>
      <c r="VKK13" s="319"/>
      <c r="VKL13" s="319"/>
      <c r="VKM13" s="319"/>
      <c r="VKN13" s="319"/>
      <c r="VKO13" s="319"/>
      <c r="VKP13" s="319"/>
      <c r="VKQ13" s="319"/>
      <c r="VKR13" s="319"/>
      <c r="VKS13" s="319"/>
      <c r="VKT13" s="319"/>
      <c r="VKU13" s="319"/>
      <c r="VKV13" s="319"/>
      <c r="VKW13" s="319"/>
      <c r="VKX13" s="319"/>
      <c r="VKY13" s="319"/>
      <c r="VKZ13" s="319"/>
      <c r="VLA13" s="319"/>
      <c r="VLB13" s="319"/>
      <c r="VLC13" s="319"/>
      <c r="VLD13" s="319"/>
      <c r="VLE13" s="319"/>
      <c r="VLF13" s="319"/>
      <c r="VLG13" s="319"/>
      <c r="VLH13" s="319"/>
      <c r="VLI13" s="319"/>
      <c r="VLJ13" s="319"/>
      <c r="VLK13" s="319"/>
      <c r="VLL13" s="319"/>
      <c r="VLM13" s="319"/>
      <c r="VLN13" s="319"/>
      <c r="VLO13" s="319"/>
      <c r="VLP13" s="319"/>
      <c r="VLQ13" s="319"/>
      <c r="VLR13" s="319"/>
      <c r="VLS13" s="319"/>
      <c r="VLT13" s="319"/>
      <c r="VLU13" s="319"/>
      <c r="VLV13" s="319"/>
      <c r="VLW13" s="319"/>
      <c r="VLX13" s="319"/>
      <c r="VLY13" s="319"/>
      <c r="VLZ13" s="319"/>
      <c r="VMA13" s="319"/>
      <c r="VMB13" s="319"/>
      <c r="VMC13" s="319"/>
      <c r="VMD13" s="319"/>
      <c r="VME13" s="319"/>
      <c r="VMF13" s="319"/>
      <c r="VMG13" s="319"/>
      <c r="VMH13" s="319"/>
      <c r="VMI13" s="319"/>
      <c r="VMJ13" s="319"/>
      <c r="VMK13" s="319"/>
      <c r="VML13" s="319"/>
      <c r="VMM13" s="319"/>
      <c r="VMN13" s="319"/>
      <c r="VMO13" s="319"/>
      <c r="VMP13" s="319"/>
      <c r="VMQ13" s="319"/>
      <c r="VMR13" s="319"/>
      <c r="VMS13" s="319"/>
      <c r="VMT13" s="319"/>
      <c r="VMU13" s="319"/>
      <c r="VMV13" s="319"/>
      <c r="VMW13" s="319"/>
      <c r="VMX13" s="319"/>
      <c r="VMY13" s="319"/>
      <c r="VMZ13" s="319"/>
      <c r="VNA13" s="319"/>
      <c r="VNB13" s="319"/>
      <c r="VNC13" s="319"/>
      <c r="VND13" s="319"/>
      <c r="VNE13" s="319"/>
      <c r="VNF13" s="319"/>
      <c r="VNG13" s="319"/>
      <c r="VNH13" s="319"/>
      <c r="VNI13" s="319"/>
      <c r="VNJ13" s="319"/>
      <c r="VNK13" s="319"/>
      <c r="VNL13" s="319"/>
      <c r="VNM13" s="319"/>
      <c r="VNN13" s="319"/>
      <c r="VNO13" s="319"/>
      <c r="VNP13" s="319"/>
      <c r="VNQ13" s="319"/>
      <c r="VNR13" s="319"/>
      <c r="VNS13" s="319"/>
      <c r="VNT13" s="319"/>
      <c r="VNU13" s="319"/>
      <c r="VNV13" s="319"/>
      <c r="VNW13" s="319"/>
      <c r="VNX13" s="319"/>
      <c r="VNY13" s="319"/>
      <c r="VNZ13" s="319"/>
      <c r="VOA13" s="319"/>
      <c r="VOB13" s="319"/>
      <c r="VOC13" s="319"/>
      <c r="VOD13" s="319"/>
      <c r="VOE13" s="319"/>
      <c r="VOF13" s="319"/>
      <c r="VOG13" s="319"/>
      <c r="VOH13" s="319"/>
      <c r="VOI13" s="319"/>
      <c r="VOJ13" s="319"/>
      <c r="VOK13" s="319"/>
      <c r="VOL13" s="319"/>
      <c r="VOM13" s="319"/>
      <c r="VON13" s="319"/>
      <c r="VOO13" s="319"/>
      <c r="VOP13" s="319"/>
      <c r="VOQ13" s="319"/>
      <c r="VOR13" s="319"/>
      <c r="VOS13" s="319"/>
      <c r="VOT13" s="319"/>
      <c r="VOU13" s="319"/>
      <c r="VOV13" s="319"/>
      <c r="VOW13" s="319"/>
      <c r="VOX13" s="319"/>
      <c r="VOY13" s="319"/>
      <c r="VOZ13" s="319"/>
      <c r="VPA13" s="319"/>
      <c r="VPB13" s="319"/>
      <c r="VPC13" s="319"/>
      <c r="VPD13" s="319"/>
      <c r="VPE13" s="319"/>
      <c r="VPF13" s="319"/>
      <c r="VPG13" s="319"/>
      <c r="VPH13" s="319"/>
      <c r="VPI13" s="319"/>
      <c r="VPJ13" s="319"/>
      <c r="VPK13" s="319"/>
      <c r="VPL13" s="319"/>
      <c r="VPM13" s="319"/>
      <c r="VPN13" s="319"/>
      <c r="VPO13" s="319"/>
      <c r="VPP13" s="319"/>
      <c r="VPQ13" s="319"/>
      <c r="VPR13" s="319"/>
      <c r="VPS13" s="319"/>
      <c r="VPT13" s="319"/>
      <c r="VPU13" s="319"/>
      <c r="VPV13" s="319"/>
      <c r="VPW13" s="319"/>
      <c r="VPX13" s="319"/>
      <c r="VPY13" s="319"/>
      <c r="VPZ13" s="319"/>
      <c r="VQA13" s="319"/>
      <c r="VQB13" s="319"/>
      <c r="VQC13" s="319"/>
      <c r="VQD13" s="319"/>
      <c r="VQE13" s="319"/>
      <c r="VQF13" s="319"/>
      <c r="VQG13" s="319"/>
      <c r="VQH13" s="319"/>
      <c r="VQI13" s="319"/>
      <c r="VQJ13" s="319"/>
      <c r="VQK13" s="319"/>
      <c r="VQL13" s="319"/>
      <c r="VQM13" s="319"/>
      <c r="VQN13" s="319"/>
      <c r="VQO13" s="319"/>
      <c r="VQP13" s="319"/>
      <c r="VQQ13" s="319"/>
      <c r="VQR13" s="319"/>
      <c r="VQS13" s="319"/>
      <c r="VQT13" s="319"/>
      <c r="VQU13" s="319"/>
      <c r="VQV13" s="319"/>
      <c r="VQW13" s="319"/>
      <c r="VQX13" s="319"/>
      <c r="VQY13" s="319"/>
      <c r="VQZ13" s="319"/>
      <c r="VRA13" s="319"/>
      <c r="VRB13" s="319"/>
      <c r="VRC13" s="319"/>
      <c r="VRD13" s="319"/>
      <c r="VRE13" s="319"/>
      <c r="VRF13" s="319"/>
      <c r="VRG13" s="319"/>
      <c r="VRH13" s="319"/>
      <c r="VRI13" s="319"/>
      <c r="VRJ13" s="319"/>
      <c r="VRK13" s="319"/>
      <c r="VRL13" s="319"/>
      <c r="VRM13" s="319"/>
      <c r="VRN13" s="319"/>
      <c r="VRO13" s="319"/>
      <c r="VRP13" s="319"/>
      <c r="VRQ13" s="319"/>
      <c r="VRR13" s="319"/>
      <c r="VRS13" s="319"/>
      <c r="VRT13" s="319"/>
      <c r="VRU13" s="319"/>
      <c r="VRV13" s="319"/>
      <c r="VRW13" s="319"/>
      <c r="VRX13" s="319"/>
      <c r="VRY13" s="319"/>
      <c r="VRZ13" s="319"/>
      <c r="VSA13" s="319"/>
      <c r="VSB13" s="319"/>
      <c r="VSC13" s="319"/>
      <c r="VSD13" s="319"/>
      <c r="VSE13" s="319"/>
      <c r="VSF13" s="319"/>
      <c r="VSG13" s="319"/>
      <c r="VSH13" s="319"/>
      <c r="VSI13" s="319"/>
      <c r="VSJ13" s="319"/>
      <c r="VSK13" s="319"/>
      <c r="VSL13" s="319"/>
      <c r="VSM13" s="319"/>
      <c r="VSN13" s="319"/>
      <c r="VSO13" s="319"/>
      <c r="VSP13" s="319"/>
      <c r="VSQ13" s="319"/>
      <c r="VSR13" s="319"/>
      <c r="VSS13" s="319"/>
      <c r="VST13" s="319"/>
      <c r="VSU13" s="319"/>
      <c r="VSV13" s="319"/>
      <c r="VSW13" s="319"/>
      <c r="VSX13" s="319"/>
      <c r="VSY13" s="319"/>
      <c r="VSZ13" s="319"/>
      <c r="VTA13" s="319"/>
      <c r="VTB13" s="319"/>
      <c r="VTC13" s="319"/>
      <c r="VTD13" s="319"/>
      <c r="VTE13" s="319"/>
      <c r="VTF13" s="319"/>
      <c r="VTG13" s="319"/>
      <c r="VTH13" s="319"/>
      <c r="VTI13" s="319"/>
      <c r="VTJ13" s="319"/>
      <c r="VTK13" s="319"/>
      <c r="VTL13" s="319"/>
      <c r="VTM13" s="319"/>
      <c r="VTN13" s="319"/>
      <c r="VTO13" s="319"/>
      <c r="VTP13" s="319"/>
      <c r="VTQ13" s="319"/>
      <c r="VTR13" s="319"/>
      <c r="VTS13" s="319"/>
      <c r="VTT13" s="319"/>
      <c r="VTU13" s="319"/>
      <c r="VTV13" s="319"/>
      <c r="VTW13" s="319"/>
      <c r="VTX13" s="319"/>
      <c r="VTY13" s="319"/>
      <c r="VTZ13" s="319"/>
      <c r="VUA13" s="319"/>
      <c r="VUB13" s="319"/>
      <c r="VUC13" s="319"/>
      <c r="VUD13" s="319"/>
      <c r="VUE13" s="319"/>
      <c r="VUF13" s="319"/>
      <c r="VUG13" s="319"/>
      <c r="VUH13" s="319"/>
      <c r="VUI13" s="319"/>
      <c r="VUJ13" s="319"/>
      <c r="VUK13" s="319"/>
      <c r="VUL13" s="319"/>
      <c r="VUM13" s="319"/>
      <c r="VUN13" s="319"/>
      <c r="VUO13" s="319"/>
      <c r="VUP13" s="319"/>
      <c r="VUQ13" s="319"/>
      <c r="VUR13" s="319"/>
      <c r="VUS13" s="319"/>
      <c r="VUT13" s="319"/>
      <c r="VUU13" s="319"/>
      <c r="VUV13" s="319"/>
      <c r="VUW13" s="319"/>
      <c r="VUX13" s="319"/>
      <c r="VUY13" s="319"/>
      <c r="VUZ13" s="319"/>
      <c r="VVA13" s="319"/>
      <c r="VVB13" s="319"/>
      <c r="VVC13" s="319"/>
      <c r="VVD13" s="319"/>
      <c r="VVE13" s="319"/>
      <c r="VVF13" s="319"/>
      <c r="VVG13" s="319"/>
      <c r="VVH13" s="319"/>
      <c r="VVI13" s="319"/>
      <c r="VVJ13" s="319"/>
      <c r="VVK13" s="319"/>
      <c r="VVL13" s="319"/>
      <c r="VVM13" s="319"/>
      <c r="VVN13" s="319"/>
      <c r="VVO13" s="319"/>
      <c r="VVP13" s="319"/>
      <c r="VVQ13" s="319"/>
      <c r="VVR13" s="319"/>
      <c r="VVS13" s="319"/>
      <c r="VVT13" s="319"/>
      <c r="VVU13" s="319"/>
      <c r="VVV13" s="319"/>
      <c r="VVW13" s="319"/>
      <c r="VVX13" s="319"/>
      <c r="VVY13" s="319"/>
      <c r="VVZ13" s="319"/>
      <c r="VWA13" s="319"/>
      <c r="VWB13" s="319"/>
      <c r="VWC13" s="319"/>
      <c r="VWD13" s="319"/>
      <c r="VWE13" s="319"/>
      <c r="VWF13" s="319"/>
      <c r="VWG13" s="319"/>
      <c r="VWH13" s="319"/>
      <c r="VWI13" s="319"/>
      <c r="VWJ13" s="319"/>
      <c r="VWK13" s="319"/>
      <c r="VWL13" s="319"/>
      <c r="VWM13" s="319"/>
      <c r="VWN13" s="319"/>
      <c r="VWO13" s="319"/>
      <c r="VWP13" s="319"/>
      <c r="VWQ13" s="319"/>
      <c r="VWR13" s="319"/>
      <c r="VWS13" s="319"/>
      <c r="VWT13" s="319"/>
      <c r="VWU13" s="319"/>
      <c r="VWV13" s="319"/>
      <c r="VWW13" s="319"/>
      <c r="VWX13" s="319"/>
      <c r="VWY13" s="319"/>
      <c r="VWZ13" s="319"/>
      <c r="VXA13" s="319"/>
      <c r="VXB13" s="319"/>
      <c r="VXC13" s="319"/>
      <c r="VXD13" s="319"/>
      <c r="VXE13" s="319"/>
      <c r="VXF13" s="319"/>
      <c r="VXG13" s="319"/>
      <c r="VXH13" s="319"/>
      <c r="VXI13" s="319"/>
      <c r="VXJ13" s="319"/>
      <c r="VXK13" s="319"/>
      <c r="VXL13" s="319"/>
      <c r="VXM13" s="319"/>
      <c r="VXN13" s="319"/>
      <c r="VXO13" s="319"/>
      <c r="VXP13" s="319"/>
      <c r="VXQ13" s="319"/>
      <c r="VXR13" s="319"/>
      <c r="VXS13" s="319"/>
      <c r="VXT13" s="319"/>
      <c r="VXU13" s="319"/>
      <c r="VXV13" s="319"/>
      <c r="VXW13" s="319"/>
      <c r="VXX13" s="319"/>
      <c r="VXY13" s="319"/>
      <c r="VXZ13" s="319"/>
      <c r="VYA13" s="319"/>
      <c r="VYB13" s="319"/>
      <c r="VYC13" s="319"/>
      <c r="VYD13" s="319"/>
      <c r="VYE13" s="319"/>
      <c r="VYF13" s="319"/>
      <c r="VYG13" s="319"/>
      <c r="VYH13" s="319"/>
      <c r="VYI13" s="319"/>
      <c r="VYJ13" s="319"/>
      <c r="VYK13" s="319"/>
      <c r="VYL13" s="319"/>
      <c r="VYM13" s="319"/>
      <c r="VYN13" s="319"/>
      <c r="VYO13" s="319"/>
      <c r="VYP13" s="319"/>
      <c r="VYQ13" s="319"/>
      <c r="VYR13" s="319"/>
      <c r="VYS13" s="319"/>
      <c r="VYT13" s="319"/>
      <c r="VYU13" s="319"/>
      <c r="VYV13" s="319"/>
      <c r="VYW13" s="319"/>
      <c r="VYX13" s="319"/>
      <c r="VYY13" s="319"/>
      <c r="VYZ13" s="319"/>
      <c r="VZA13" s="319"/>
      <c r="VZB13" s="319"/>
      <c r="VZC13" s="319"/>
      <c r="VZD13" s="319"/>
      <c r="VZE13" s="319"/>
      <c r="VZF13" s="319"/>
      <c r="VZG13" s="319"/>
      <c r="VZH13" s="319"/>
      <c r="VZI13" s="319"/>
      <c r="VZJ13" s="319"/>
      <c r="VZK13" s="319"/>
      <c r="VZL13" s="319"/>
      <c r="VZM13" s="319"/>
      <c r="VZN13" s="319"/>
      <c r="VZO13" s="319"/>
      <c r="VZP13" s="319"/>
      <c r="VZQ13" s="319"/>
      <c r="VZR13" s="319"/>
      <c r="VZS13" s="319"/>
      <c r="VZT13" s="319"/>
      <c r="VZU13" s="319"/>
      <c r="VZV13" s="319"/>
      <c r="VZW13" s="319"/>
      <c r="VZX13" s="319"/>
      <c r="VZY13" s="319"/>
      <c r="VZZ13" s="319"/>
      <c r="WAA13" s="319"/>
      <c r="WAB13" s="319"/>
      <c r="WAC13" s="319"/>
      <c r="WAD13" s="319"/>
      <c r="WAE13" s="319"/>
      <c r="WAF13" s="319"/>
      <c r="WAG13" s="319"/>
      <c r="WAH13" s="319"/>
      <c r="WAI13" s="319"/>
      <c r="WAJ13" s="319"/>
      <c r="WAK13" s="319"/>
      <c r="WAL13" s="319"/>
      <c r="WAM13" s="319"/>
      <c r="WAN13" s="319"/>
      <c r="WAO13" s="319"/>
      <c r="WAP13" s="319"/>
      <c r="WAQ13" s="319"/>
      <c r="WAR13" s="319"/>
      <c r="WAS13" s="319"/>
      <c r="WAT13" s="319"/>
      <c r="WAU13" s="319"/>
      <c r="WAV13" s="319"/>
      <c r="WAW13" s="319"/>
      <c r="WAX13" s="319"/>
      <c r="WAY13" s="319"/>
      <c r="WAZ13" s="319"/>
      <c r="WBA13" s="319"/>
      <c r="WBB13" s="319"/>
      <c r="WBC13" s="319"/>
      <c r="WBD13" s="319"/>
      <c r="WBE13" s="319"/>
      <c r="WBF13" s="319"/>
      <c r="WBG13" s="319"/>
      <c r="WBH13" s="319"/>
      <c r="WBI13" s="319"/>
      <c r="WBJ13" s="319"/>
      <c r="WBK13" s="319"/>
      <c r="WBL13" s="319"/>
      <c r="WBM13" s="319"/>
      <c r="WBN13" s="319"/>
      <c r="WBO13" s="319"/>
      <c r="WBP13" s="319"/>
      <c r="WBQ13" s="319"/>
      <c r="WBR13" s="319"/>
      <c r="WBS13" s="319"/>
      <c r="WBT13" s="319"/>
      <c r="WBU13" s="319"/>
      <c r="WBV13" s="319"/>
      <c r="WBW13" s="319"/>
      <c r="WBX13" s="319"/>
      <c r="WBY13" s="319"/>
      <c r="WBZ13" s="319"/>
      <c r="WCA13" s="319"/>
      <c r="WCB13" s="319"/>
      <c r="WCC13" s="319"/>
      <c r="WCD13" s="319"/>
      <c r="WCE13" s="319"/>
      <c r="WCF13" s="319"/>
      <c r="WCG13" s="319"/>
      <c r="WCH13" s="319"/>
      <c r="WCI13" s="319"/>
      <c r="WCJ13" s="319"/>
      <c r="WCK13" s="319"/>
      <c r="WCL13" s="319"/>
      <c r="WCM13" s="319"/>
      <c r="WCN13" s="319"/>
      <c r="WCO13" s="319"/>
      <c r="WCP13" s="319"/>
      <c r="WCQ13" s="319"/>
      <c r="WCR13" s="319"/>
      <c r="WCS13" s="319"/>
      <c r="WCT13" s="319"/>
      <c r="WCU13" s="319"/>
      <c r="WCV13" s="319"/>
      <c r="WCW13" s="319"/>
      <c r="WCX13" s="319"/>
      <c r="WCY13" s="319"/>
      <c r="WCZ13" s="319"/>
      <c r="WDA13" s="319"/>
      <c r="WDB13" s="319"/>
      <c r="WDC13" s="319"/>
      <c r="WDD13" s="319"/>
      <c r="WDE13" s="319"/>
      <c r="WDF13" s="319"/>
      <c r="WDG13" s="319"/>
      <c r="WDH13" s="319"/>
      <c r="WDI13" s="319"/>
      <c r="WDJ13" s="319"/>
      <c r="WDK13" s="319"/>
      <c r="WDL13" s="319"/>
      <c r="WDM13" s="319"/>
      <c r="WDN13" s="319"/>
      <c r="WDO13" s="319"/>
      <c r="WDP13" s="319"/>
      <c r="WDQ13" s="319"/>
      <c r="WDR13" s="319"/>
      <c r="WDS13" s="319"/>
      <c r="WDT13" s="319"/>
      <c r="WDU13" s="319"/>
      <c r="WDV13" s="319"/>
      <c r="WDW13" s="319"/>
      <c r="WDX13" s="319"/>
      <c r="WDY13" s="319"/>
      <c r="WDZ13" s="319"/>
      <c r="WEA13" s="319"/>
      <c r="WEB13" s="319"/>
      <c r="WEC13" s="319"/>
      <c r="WED13" s="319"/>
      <c r="WEE13" s="319"/>
      <c r="WEF13" s="319"/>
      <c r="WEG13" s="319"/>
      <c r="WEH13" s="319"/>
      <c r="WEI13" s="319"/>
      <c r="WEJ13" s="319"/>
      <c r="WEK13" s="319"/>
      <c r="WEL13" s="319"/>
      <c r="WEM13" s="319"/>
      <c r="WEN13" s="319"/>
      <c r="WEO13" s="319"/>
      <c r="WEP13" s="319"/>
      <c r="WEQ13" s="319"/>
      <c r="WER13" s="319"/>
      <c r="WES13" s="319"/>
      <c r="WET13" s="319"/>
      <c r="WEU13" s="319"/>
      <c r="WEV13" s="319"/>
      <c r="WEW13" s="319"/>
      <c r="WEX13" s="319"/>
      <c r="WEY13" s="319"/>
      <c r="WEZ13" s="319"/>
      <c r="WFA13" s="319"/>
      <c r="WFB13" s="319"/>
      <c r="WFC13" s="319"/>
      <c r="WFD13" s="319"/>
      <c r="WFE13" s="319"/>
      <c r="WFF13" s="319"/>
      <c r="WFG13" s="319"/>
      <c r="WFH13" s="319"/>
      <c r="WFI13" s="319"/>
      <c r="WFJ13" s="319"/>
      <c r="WFK13" s="319"/>
      <c r="WFL13" s="319"/>
      <c r="WFM13" s="319"/>
      <c r="WFN13" s="319"/>
      <c r="WFO13" s="319"/>
      <c r="WFP13" s="319"/>
      <c r="WFQ13" s="319"/>
      <c r="WFR13" s="319"/>
      <c r="WFS13" s="319"/>
      <c r="WFT13" s="319"/>
      <c r="WFU13" s="319"/>
      <c r="WFV13" s="319"/>
      <c r="WFW13" s="319"/>
      <c r="WFX13" s="319"/>
      <c r="WFY13" s="319"/>
      <c r="WFZ13" s="319"/>
      <c r="WGA13" s="319"/>
      <c r="WGB13" s="319"/>
      <c r="WGC13" s="319"/>
      <c r="WGD13" s="319"/>
      <c r="WGE13" s="319"/>
      <c r="WGF13" s="319"/>
      <c r="WGG13" s="319"/>
      <c r="WGH13" s="319"/>
      <c r="WGI13" s="319"/>
      <c r="WGJ13" s="319"/>
      <c r="WGK13" s="319"/>
      <c r="WGL13" s="319"/>
      <c r="WGM13" s="319"/>
      <c r="WGN13" s="319"/>
      <c r="WGO13" s="319"/>
      <c r="WGP13" s="319"/>
      <c r="WGQ13" s="319"/>
      <c r="WGR13" s="319"/>
      <c r="WGS13" s="319"/>
      <c r="WGT13" s="319"/>
      <c r="WGU13" s="319"/>
      <c r="WGV13" s="319"/>
      <c r="WGW13" s="319"/>
      <c r="WGX13" s="319"/>
      <c r="WGY13" s="319"/>
      <c r="WGZ13" s="319"/>
      <c r="WHA13" s="319"/>
      <c r="WHB13" s="319"/>
      <c r="WHC13" s="319"/>
      <c r="WHD13" s="319"/>
      <c r="WHE13" s="319"/>
      <c r="WHF13" s="319"/>
      <c r="WHG13" s="319"/>
      <c r="WHH13" s="319"/>
      <c r="WHI13" s="319"/>
      <c r="WHJ13" s="319"/>
      <c r="WHK13" s="319"/>
      <c r="WHL13" s="319"/>
      <c r="WHM13" s="319"/>
      <c r="WHN13" s="319"/>
      <c r="WHO13" s="319"/>
      <c r="WHP13" s="319"/>
      <c r="WHQ13" s="319"/>
      <c r="WHR13" s="319"/>
      <c r="WHS13" s="319"/>
      <c r="WHT13" s="319"/>
      <c r="WHU13" s="319"/>
      <c r="WHV13" s="319"/>
      <c r="WHW13" s="319"/>
      <c r="WHX13" s="319"/>
      <c r="WHY13" s="319"/>
      <c r="WHZ13" s="319"/>
      <c r="WIA13" s="319"/>
      <c r="WIB13" s="319"/>
      <c r="WIC13" s="319"/>
      <c r="WID13" s="319"/>
      <c r="WIE13" s="319"/>
      <c r="WIF13" s="319"/>
      <c r="WIG13" s="319"/>
      <c r="WIH13" s="319"/>
      <c r="WII13" s="319"/>
      <c r="WIJ13" s="319"/>
      <c r="WIK13" s="319"/>
      <c r="WIL13" s="319"/>
      <c r="WIM13" s="319"/>
      <c r="WIN13" s="319"/>
      <c r="WIO13" s="319"/>
      <c r="WIP13" s="319"/>
      <c r="WIQ13" s="319"/>
      <c r="WIR13" s="319"/>
      <c r="WIS13" s="319"/>
      <c r="WIT13" s="319"/>
      <c r="WIU13" s="319"/>
      <c r="WIV13" s="319"/>
      <c r="WIW13" s="319"/>
      <c r="WIX13" s="319"/>
      <c r="WIY13" s="319"/>
      <c r="WIZ13" s="319"/>
      <c r="WJA13" s="319"/>
      <c r="WJB13" s="319"/>
      <c r="WJC13" s="319"/>
      <c r="WJD13" s="319"/>
      <c r="WJE13" s="319"/>
      <c r="WJF13" s="319"/>
      <c r="WJG13" s="319"/>
      <c r="WJH13" s="319"/>
      <c r="WJI13" s="319"/>
      <c r="WJJ13" s="319"/>
      <c r="WJK13" s="319"/>
      <c r="WJL13" s="319"/>
      <c r="WJM13" s="319"/>
      <c r="WJN13" s="319"/>
      <c r="WJO13" s="319"/>
      <c r="WJP13" s="319"/>
      <c r="WJQ13" s="319"/>
      <c r="WJR13" s="319"/>
      <c r="WJS13" s="319"/>
      <c r="WJT13" s="319"/>
      <c r="WJU13" s="319"/>
      <c r="WJV13" s="319"/>
      <c r="WJW13" s="319"/>
      <c r="WJX13" s="319"/>
      <c r="WJY13" s="319"/>
      <c r="WJZ13" s="319"/>
      <c r="WKA13" s="319"/>
      <c r="WKB13" s="319"/>
      <c r="WKC13" s="319"/>
      <c r="WKD13" s="319"/>
      <c r="WKE13" s="319"/>
      <c r="WKF13" s="319"/>
      <c r="WKG13" s="319"/>
      <c r="WKH13" s="319"/>
      <c r="WKI13" s="319"/>
      <c r="WKJ13" s="319"/>
      <c r="WKK13" s="319"/>
      <c r="WKL13" s="319"/>
      <c r="WKM13" s="319"/>
      <c r="WKN13" s="319"/>
      <c r="WKO13" s="319"/>
      <c r="WKP13" s="319"/>
      <c r="WKQ13" s="319"/>
      <c r="WKR13" s="319"/>
      <c r="WKS13" s="319"/>
      <c r="WKT13" s="319"/>
      <c r="WKU13" s="319"/>
      <c r="WKV13" s="319"/>
      <c r="WKW13" s="319"/>
      <c r="WKX13" s="319"/>
      <c r="WKY13" s="319"/>
      <c r="WKZ13" s="319"/>
      <c r="WLA13" s="319"/>
      <c r="WLB13" s="319"/>
      <c r="WLC13" s="319"/>
      <c r="WLD13" s="319"/>
      <c r="WLE13" s="319"/>
      <c r="WLF13" s="319"/>
      <c r="WLG13" s="319"/>
      <c r="WLH13" s="319"/>
      <c r="WLI13" s="319"/>
      <c r="WLJ13" s="319"/>
      <c r="WLK13" s="319"/>
      <c r="WLL13" s="319"/>
      <c r="WLM13" s="319"/>
      <c r="WLN13" s="319"/>
      <c r="WLO13" s="319"/>
      <c r="WLP13" s="319"/>
      <c r="WLQ13" s="319"/>
      <c r="WLR13" s="319"/>
      <c r="WLS13" s="319"/>
      <c r="WLT13" s="319"/>
      <c r="WLU13" s="319"/>
      <c r="WLV13" s="319"/>
      <c r="WLW13" s="319"/>
      <c r="WLX13" s="319"/>
      <c r="WLY13" s="319"/>
      <c r="WLZ13" s="319"/>
      <c r="WMA13" s="319"/>
      <c r="WMB13" s="319"/>
      <c r="WMC13" s="319"/>
      <c r="WMD13" s="319"/>
      <c r="WME13" s="319"/>
      <c r="WMF13" s="319"/>
      <c r="WMG13" s="319"/>
      <c r="WMH13" s="319"/>
      <c r="WMI13" s="319"/>
      <c r="WMJ13" s="319"/>
      <c r="WMK13" s="319"/>
      <c r="WML13" s="319"/>
      <c r="WMM13" s="319"/>
      <c r="WMN13" s="319"/>
      <c r="WMO13" s="319"/>
      <c r="WMP13" s="319"/>
      <c r="WMQ13" s="319"/>
      <c r="WMR13" s="319"/>
      <c r="WMS13" s="319"/>
      <c r="WMT13" s="319"/>
      <c r="WMU13" s="319"/>
      <c r="WMV13" s="319"/>
      <c r="WMW13" s="319"/>
      <c r="WMX13" s="319"/>
      <c r="WMY13" s="319"/>
      <c r="WMZ13" s="319"/>
      <c r="WNA13" s="319"/>
      <c r="WNB13" s="319"/>
      <c r="WNC13" s="319"/>
      <c r="WND13" s="319"/>
      <c r="WNE13" s="319"/>
      <c r="WNF13" s="319"/>
      <c r="WNG13" s="319"/>
      <c r="WNH13" s="319"/>
      <c r="WNI13" s="319"/>
      <c r="WNJ13" s="319"/>
      <c r="WNK13" s="319"/>
      <c r="WNL13" s="319"/>
      <c r="WNM13" s="319"/>
      <c r="WNN13" s="319"/>
      <c r="WNO13" s="319"/>
      <c r="WNP13" s="319"/>
      <c r="WNQ13" s="319"/>
      <c r="WNR13" s="319"/>
      <c r="WNS13" s="319"/>
      <c r="WNT13" s="319"/>
      <c r="WNU13" s="319"/>
      <c r="WNV13" s="319"/>
      <c r="WNW13" s="319"/>
      <c r="WNX13" s="319"/>
      <c r="WNY13" s="319"/>
      <c r="WNZ13" s="319"/>
      <c r="WOA13" s="319"/>
      <c r="WOB13" s="319"/>
      <c r="WOC13" s="319"/>
      <c r="WOD13" s="319"/>
      <c r="WOE13" s="319"/>
      <c r="WOF13" s="319"/>
      <c r="WOG13" s="319"/>
      <c r="WOH13" s="319"/>
      <c r="WOI13" s="319"/>
      <c r="WOJ13" s="319"/>
      <c r="WOK13" s="319"/>
      <c r="WOL13" s="319"/>
      <c r="WOM13" s="319"/>
      <c r="WON13" s="319"/>
      <c r="WOO13" s="319"/>
      <c r="WOP13" s="319"/>
      <c r="WOQ13" s="319"/>
      <c r="WOR13" s="319"/>
      <c r="WOS13" s="319"/>
      <c r="WOT13" s="319"/>
      <c r="WOU13" s="319"/>
      <c r="WOV13" s="319"/>
      <c r="WOW13" s="319"/>
      <c r="WOX13" s="319"/>
      <c r="WOY13" s="319"/>
      <c r="WOZ13" s="319"/>
      <c r="WPA13" s="319"/>
      <c r="WPB13" s="319"/>
      <c r="WPC13" s="319"/>
      <c r="WPD13" s="319"/>
      <c r="WPE13" s="319"/>
      <c r="WPF13" s="319"/>
      <c r="WPG13" s="319"/>
      <c r="WPH13" s="319"/>
      <c r="WPI13" s="319"/>
      <c r="WPJ13" s="319"/>
      <c r="WPK13" s="319"/>
      <c r="WPL13" s="319"/>
      <c r="WPM13" s="319"/>
      <c r="WPN13" s="319"/>
      <c r="WPO13" s="319"/>
      <c r="WPP13" s="319"/>
      <c r="WPQ13" s="319"/>
      <c r="WPR13" s="319"/>
      <c r="WPS13" s="319"/>
      <c r="WPT13" s="319"/>
      <c r="WPU13" s="319"/>
      <c r="WPV13" s="319"/>
      <c r="WPW13" s="319"/>
      <c r="WPX13" s="319"/>
      <c r="WPY13" s="319"/>
      <c r="WPZ13" s="319"/>
      <c r="WQA13" s="319"/>
      <c r="WQB13" s="319"/>
      <c r="WQC13" s="319"/>
      <c r="WQD13" s="319"/>
      <c r="WQE13" s="319"/>
      <c r="WQF13" s="319"/>
      <c r="WQG13" s="319"/>
      <c r="WQH13" s="319"/>
      <c r="WQI13" s="319"/>
      <c r="WQJ13" s="319"/>
      <c r="WQK13" s="319"/>
      <c r="WQL13" s="319"/>
      <c r="WQM13" s="319"/>
      <c r="WQN13" s="319"/>
      <c r="WQO13" s="319"/>
      <c r="WQP13" s="319"/>
      <c r="WQQ13" s="319"/>
      <c r="WQR13" s="319"/>
      <c r="WQS13" s="319"/>
      <c r="WQT13" s="319"/>
      <c r="WQU13" s="319"/>
      <c r="WQV13" s="319"/>
      <c r="WQW13" s="319"/>
      <c r="WQX13" s="319"/>
      <c r="WQY13" s="319"/>
      <c r="WQZ13" s="319"/>
      <c r="WRA13" s="319"/>
      <c r="WRB13" s="319"/>
      <c r="WRC13" s="319"/>
      <c r="WRD13" s="319"/>
      <c r="WRE13" s="319"/>
      <c r="WRF13" s="319"/>
      <c r="WRG13" s="319"/>
      <c r="WRH13" s="319"/>
      <c r="WRI13" s="319"/>
      <c r="WRJ13" s="319"/>
      <c r="WRK13" s="319"/>
      <c r="WRL13" s="319"/>
      <c r="WRM13" s="319"/>
      <c r="WRN13" s="319"/>
      <c r="WRO13" s="319"/>
      <c r="WRP13" s="319"/>
      <c r="WRQ13" s="319"/>
      <c r="WRR13" s="319"/>
      <c r="WRS13" s="319"/>
      <c r="WRT13" s="319"/>
      <c r="WRU13" s="319"/>
      <c r="WRV13" s="319"/>
      <c r="WRW13" s="319"/>
      <c r="WRX13" s="319"/>
      <c r="WRY13" s="319"/>
      <c r="WRZ13" s="319"/>
      <c r="WSA13" s="319"/>
      <c r="WSB13" s="319"/>
      <c r="WSC13" s="319"/>
      <c r="WSD13" s="319"/>
      <c r="WSE13" s="319"/>
      <c r="WSF13" s="319"/>
      <c r="WSG13" s="319"/>
      <c r="WSH13" s="319"/>
      <c r="WSI13" s="319"/>
      <c r="WSJ13" s="319"/>
      <c r="WSK13" s="319"/>
      <c r="WSL13" s="319"/>
      <c r="WSM13" s="319"/>
      <c r="WSN13" s="319"/>
      <c r="WSO13" s="319"/>
      <c r="WSP13" s="319"/>
      <c r="WSQ13" s="319"/>
      <c r="WSR13" s="319"/>
      <c r="WSS13" s="319"/>
      <c r="WST13" s="319"/>
      <c r="WSU13" s="319"/>
      <c r="WSV13" s="319"/>
      <c r="WSW13" s="319"/>
      <c r="WSX13" s="319"/>
      <c r="WSY13" s="319"/>
      <c r="WSZ13" s="319"/>
      <c r="WTA13" s="319"/>
      <c r="WTB13" s="319"/>
      <c r="WTC13" s="319"/>
      <c r="WTD13" s="319"/>
      <c r="WTE13" s="319"/>
      <c r="WTF13" s="319"/>
      <c r="WTG13" s="319"/>
      <c r="WTH13" s="319"/>
      <c r="WTI13" s="319"/>
      <c r="WTJ13" s="319"/>
      <c r="WTK13" s="319"/>
      <c r="WTL13" s="319"/>
      <c r="WTM13" s="319"/>
      <c r="WTN13" s="319"/>
      <c r="WTO13" s="319"/>
      <c r="WTP13" s="319"/>
      <c r="WTQ13" s="319"/>
      <c r="WTR13" s="319"/>
      <c r="WTS13" s="319"/>
      <c r="WTT13" s="319"/>
      <c r="WTU13" s="319"/>
      <c r="WTV13" s="319"/>
      <c r="WTW13" s="319"/>
      <c r="WTX13" s="319"/>
      <c r="WTY13" s="319"/>
      <c r="WTZ13" s="319"/>
      <c r="WUA13" s="319"/>
      <c r="WUB13" s="319"/>
      <c r="WUC13" s="319"/>
      <c r="WUD13" s="319"/>
      <c r="WUE13" s="319"/>
      <c r="WUF13" s="319"/>
      <c r="WUG13" s="319"/>
      <c r="WUH13" s="319"/>
      <c r="WUI13" s="319"/>
      <c r="WUJ13" s="319"/>
      <c r="WUK13" s="319"/>
      <c r="WUL13" s="319"/>
      <c r="WUM13" s="319"/>
      <c r="WUN13" s="319"/>
      <c r="WUO13" s="319"/>
      <c r="WUP13" s="319"/>
      <c r="WUQ13" s="319"/>
      <c r="WUR13" s="319"/>
      <c r="WUS13" s="319"/>
      <c r="WUT13" s="319"/>
      <c r="WUU13" s="319"/>
      <c r="WUV13" s="319"/>
      <c r="WUW13" s="319"/>
      <c r="WUX13" s="319"/>
      <c r="WUY13" s="319"/>
      <c r="WUZ13" s="319"/>
      <c r="WVA13" s="319"/>
      <c r="WVB13" s="319"/>
      <c r="WVC13" s="319"/>
      <c r="WVD13" s="319"/>
      <c r="WVE13" s="319"/>
      <c r="WVF13" s="319"/>
      <c r="WVG13" s="319"/>
      <c r="WVH13" s="319"/>
      <c r="WVI13" s="319"/>
      <c r="WVJ13" s="319"/>
      <c r="WVK13" s="319"/>
      <c r="WVL13" s="319"/>
      <c r="WVM13" s="319"/>
      <c r="WVN13" s="319"/>
      <c r="WVO13" s="319"/>
      <c r="WVP13" s="319"/>
      <c r="WVQ13" s="319"/>
      <c r="WVR13" s="319"/>
      <c r="WVS13" s="319"/>
      <c r="WVT13" s="319"/>
      <c r="WVU13" s="319"/>
      <c r="WVV13" s="319"/>
      <c r="WVW13" s="319"/>
      <c r="WVX13" s="319"/>
      <c r="WVY13" s="319"/>
      <c r="WVZ13" s="319"/>
      <c r="WWA13" s="319"/>
      <c r="WWB13" s="319"/>
      <c r="WWC13" s="319"/>
      <c r="WWD13" s="319"/>
      <c r="WWE13" s="319"/>
      <c r="WWF13" s="319"/>
      <c r="WWG13" s="319"/>
      <c r="WWH13" s="319"/>
      <c r="WWI13" s="319"/>
      <c r="WWJ13" s="319"/>
      <c r="WWK13" s="319"/>
      <c r="WWL13" s="319"/>
      <c r="WWM13" s="319"/>
      <c r="WWN13" s="319"/>
      <c r="WWO13" s="319"/>
      <c r="WWP13" s="319"/>
      <c r="WWQ13" s="319"/>
      <c r="WWR13" s="319"/>
      <c r="WWS13" s="319"/>
      <c r="WWT13" s="319"/>
      <c r="WWU13" s="319"/>
      <c r="WWV13" s="319"/>
      <c r="WWW13" s="319"/>
      <c r="WWX13" s="319"/>
      <c r="WWY13" s="319"/>
      <c r="WWZ13" s="319"/>
      <c r="WXA13" s="319"/>
      <c r="WXB13" s="319"/>
      <c r="WXC13" s="319"/>
      <c r="WXD13" s="319"/>
      <c r="WXE13" s="319"/>
      <c r="WXF13" s="319"/>
      <c r="WXG13" s="319"/>
      <c r="WXH13" s="319"/>
      <c r="WXI13" s="319"/>
      <c r="WXJ13" s="319"/>
      <c r="WXK13" s="319"/>
      <c r="WXL13" s="319"/>
      <c r="WXM13" s="319"/>
      <c r="WXN13" s="319"/>
      <c r="WXO13" s="319"/>
      <c r="WXP13" s="319"/>
      <c r="WXQ13" s="319"/>
      <c r="WXR13" s="319"/>
      <c r="WXS13" s="319"/>
      <c r="WXT13" s="319"/>
      <c r="WXU13" s="319"/>
      <c r="WXV13" s="319"/>
      <c r="WXW13" s="319"/>
      <c r="WXX13" s="319"/>
      <c r="WXY13" s="319"/>
      <c r="WXZ13" s="319"/>
      <c r="WYA13" s="319"/>
      <c r="WYB13" s="319"/>
      <c r="WYC13" s="319"/>
      <c r="WYD13" s="319"/>
      <c r="WYE13" s="319"/>
      <c r="WYF13" s="319"/>
      <c r="WYG13" s="319"/>
      <c r="WYH13" s="319"/>
      <c r="WYI13" s="319"/>
      <c r="WYJ13" s="319"/>
      <c r="WYK13" s="319"/>
      <c r="WYL13" s="319"/>
      <c r="WYM13" s="319"/>
      <c r="WYN13" s="319"/>
      <c r="WYO13" s="319"/>
      <c r="WYP13" s="319"/>
      <c r="WYQ13" s="319"/>
      <c r="WYR13" s="319"/>
      <c r="WYS13" s="319"/>
      <c r="WYT13" s="319"/>
      <c r="WYU13" s="319"/>
      <c r="WYV13" s="319"/>
      <c r="WYW13" s="319"/>
      <c r="WYX13" s="319"/>
      <c r="WYY13" s="319"/>
      <c r="WYZ13" s="319"/>
      <c r="WZA13" s="319"/>
      <c r="WZB13" s="319"/>
      <c r="WZC13" s="319"/>
      <c r="WZD13" s="319"/>
      <c r="WZE13" s="319"/>
      <c r="WZF13" s="319"/>
      <c r="WZG13" s="319"/>
      <c r="WZH13" s="319"/>
      <c r="WZI13" s="319"/>
      <c r="WZJ13" s="319"/>
      <c r="WZK13" s="319"/>
      <c r="WZL13" s="319"/>
      <c r="WZM13" s="319"/>
      <c r="WZN13" s="319"/>
      <c r="WZO13" s="319"/>
      <c r="WZP13" s="319"/>
      <c r="WZQ13" s="319"/>
      <c r="WZR13" s="319"/>
      <c r="WZS13" s="319"/>
      <c r="WZT13" s="319"/>
      <c r="WZU13" s="319"/>
      <c r="WZV13" s="319"/>
      <c r="WZW13" s="319"/>
      <c r="WZX13" s="319"/>
      <c r="WZY13" s="319"/>
      <c r="WZZ13" s="319"/>
      <c r="XAA13" s="319"/>
      <c r="XAB13" s="319"/>
      <c r="XAC13" s="319"/>
      <c r="XAD13" s="319"/>
      <c r="XAE13" s="319"/>
      <c r="XAF13" s="319"/>
      <c r="XAG13" s="319"/>
      <c r="XAH13" s="319"/>
      <c r="XAI13" s="319"/>
      <c r="XAJ13" s="319"/>
      <c r="XAK13" s="319"/>
      <c r="XAL13" s="319"/>
      <c r="XAM13" s="319"/>
      <c r="XAN13" s="319"/>
      <c r="XAO13" s="319"/>
      <c r="XAP13" s="319"/>
      <c r="XAQ13" s="319"/>
      <c r="XAR13" s="319"/>
      <c r="XAS13" s="319"/>
      <c r="XAT13" s="319"/>
      <c r="XAU13" s="319"/>
      <c r="XAV13" s="319"/>
      <c r="XAW13" s="319"/>
      <c r="XAX13" s="319"/>
      <c r="XAY13" s="319"/>
      <c r="XAZ13" s="319"/>
      <c r="XBA13" s="319"/>
      <c r="XBB13" s="319"/>
      <c r="XBC13" s="319"/>
      <c r="XBD13" s="319"/>
      <c r="XBE13" s="319"/>
      <c r="XBF13" s="319"/>
      <c r="XBG13" s="319"/>
      <c r="XBH13" s="319"/>
      <c r="XBI13" s="319"/>
      <c r="XBJ13" s="319"/>
      <c r="XBK13" s="319"/>
      <c r="XBL13" s="319"/>
      <c r="XBM13" s="319"/>
      <c r="XBN13" s="319"/>
      <c r="XBO13" s="319"/>
      <c r="XBP13" s="319"/>
      <c r="XBQ13" s="319"/>
      <c r="XBR13" s="319"/>
      <c r="XBS13" s="319"/>
      <c r="XBT13" s="319"/>
      <c r="XBU13" s="319"/>
      <c r="XBV13" s="319"/>
      <c r="XBW13" s="319"/>
      <c r="XBX13" s="319"/>
      <c r="XBY13" s="319"/>
      <c r="XBZ13" s="319"/>
      <c r="XCA13" s="319"/>
      <c r="XCB13" s="319"/>
      <c r="XCC13" s="319"/>
      <c r="XCD13" s="319"/>
      <c r="XCE13" s="319"/>
      <c r="XCF13" s="319"/>
      <c r="XCG13" s="319"/>
      <c r="XCH13" s="319"/>
      <c r="XCI13" s="319"/>
      <c r="XCJ13" s="319"/>
      <c r="XCK13" s="319"/>
      <c r="XCL13" s="319"/>
      <c r="XCM13" s="319"/>
      <c r="XCN13" s="319"/>
      <c r="XCO13" s="319"/>
      <c r="XCP13" s="319"/>
      <c r="XCQ13" s="319"/>
      <c r="XCR13" s="319"/>
      <c r="XCS13" s="319"/>
      <c r="XCT13" s="319"/>
      <c r="XCU13" s="319"/>
      <c r="XCV13" s="319"/>
      <c r="XCW13" s="319"/>
      <c r="XCX13" s="319"/>
      <c r="XCY13" s="319"/>
      <c r="XCZ13" s="319"/>
      <c r="XDA13" s="319"/>
      <c r="XDB13" s="319"/>
      <c r="XDC13" s="319"/>
      <c r="XDD13" s="319"/>
      <c r="XDE13" s="319"/>
      <c r="XDF13" s="319"/>
      <c r="XDG13" s="319"/>
      <c r="XDH13" s="319"/>
      <c r="XDI13" s="319"/>
      <c r="XDJ13" s="319"/>
      <c r="XDK13" s="319"/>
      <c r="XDL13" s="319"/>
      <c r="XDM13" s="319"/>
      <c r="XDN13" s="319"/>
      <c r="XDO13" s="319"/>
      <c r="XDP13" s="319"/>
      <c r="XDQ13" s="319"/>
      <c r="XDR13" s="319"/>
      <c r="XDS13" s="319"/>
      <c r="XDT13" s="319"/>
      <c r="XDU13" s="319"/>
      <c r="XDV13" s="319"/>
      <c r="XDW13" s="319"/>
      <c r="XDX13" s="319"/>
      <c r="XDY13" s="319"/>
      <c r="XDZ13" s="319"/>
      <c r="XEA13" s="319"/>
      <c r="XEB13" s="319"/>
      <c r="XEC13" s="319"/>
      <c r="XED13" s="319"/>
      <c r="XEE13" s="319"/>
      <c r="XEF13" s="319"/>
      <c r="XEG13" s="319"/>
      <c r="XEH13" s="319"/>
      <c r="XEI13" s="319"/>
      <c r="XEJ13" s="319"/>
      <c r="XEK13" s="319"/>
      <c r="XEL13" s="319"/>
      <c r="XEM13" s="319"/>
      <c r="XEN13" s="319"/>
      <c r="XEO13" s="319"/>
      <c r="XEP13" s="319"/>
      <c r="XEQ13" s="319"/>
      <c r="XER13" s="319"/>
      <c r="XES13" s="319"/>
      <c r="XET13" s="319"/>
      <c r="XEU13" s="319"/>
      <c r="XEV13" s="319"/>
      <c r="XEW13" s="319"/>
      <c r="XEX13" s="319"/>
      <c r="XEY13" s="319"/>
      <c r="XEZ13" s="319"/>
    </row>
    <row r="14" spans="1:16380" s="464" customFormat="1">
      <c r="A14" s="374" t="s">
        <v>855</v>
      </c>
      <c r="B14" s="538"/>
      <c r="C14" s="538"/>
      <c r="D14" s="538"/>
      <c r="E14" s="538"/>
      <c r="F14" s="538"/>
      <c r="G14" s="538"/>
      <c r="H14" s="538"/>
      <c r="I14" s="538"/>
      <c r="J14" s="538"/>
      <c r="K14" s="538"/>
      <c r="L14" s="538"/>
      <c r="M14" s="538"/>
      <c r="N14" s="538"/>
      <c r="O14" s="538"/>
    </row>
    <row r="15" spans="1:16380" s="464" customFormat="1">
      <c r="A15" s="374" t="s">
        <v>249</v>
      </c>
      <c r="B15" s="538"/>
      <c r="C15" s="538"/>
      <c r="D15" s="538"/>
      <c r="E15" s="538"/>
      <c r="F15" s="538"/>
      <c r="G15" s="538"/>
      <c r="H15" s="538"/>
      <c r="I15" s="538"/>
      <c r="J15" s="538"/>
      <c r="K15" s="538"/>
      <c r="L15" s="538"/>
      <c r="M15" s="538"/>
      <c r="N15" s="538"/>
      <c r="O15" s="538"/>
    </row>
    <row r="16" spans="1:16380" s="464" customFormat="1">
      <c r="A16" s="1065" t="s">
        <v>176</v>
      </c>
      <c r="B16" s="1065" t="s">
        <v>244</v>
      </c>
      <c r="C16" s="1065" t="s">
        <v>559</v>
      </c>
      <c r="D16" s="1065"/>
      <c r="E16" s="1065"/>
      <c r="F16" s="1065"/>
      <c r="G16" s="1065" t="s">
        <v>560</v>
      </c>
      <c r="H16" s="1065"/>
      <c r="I16" s="1065"/>
      <c r="J16" s="1065"/>
      <c r="K16" s="1065" t="s">
        <v>561</v>
      </c>
      <c r="L16" s="1065"/>
      <c r="M16" s="1065"/>
      <c r="N16" s="1065"/>
      <c r="O16" s="538"/>
    </row>
    <row r="17" spans="1:15" s="464" customFormat="1" ht="63.75">
      <c r="A17" s="1065"/>
      <c r="B17" s="1065"/>
      <c r="C17" s="705" t="s">
        <v>291</v>
      </c>
      <c r="D17" s="1066" t="s">
        <v>292</v>
      </c>
      <c r="E17" s="1067"/>
      <c r="F17" s="705" t="s">
        <v>293</v>
      </c>
      <c r="G17" s="705" t="s">
        <v>291</v>
      </c>
      <c r="H17" s="1066" t="s">
        <v>292</v>
      </c>
      <c r="I17" s="1067"/>
      <c r="J17" s="705" t="s">
        <v>293</v>
      </c>
      <c r="K17" s="705" t="s">
        <v>291</v>
      </c>
      <c r="L17" s="1066" t="s">
        <v>292</v>
      </c>
      <c r="M17" s="1067"/>
      <c r="N17" s="705" t="s">
        <v>293</v>
      </c>
      <c r="O17" s="538"/>
    </row>
    <row r="18" spans="1:15" s="464" customFormat="1" ht="76.5">
      <c r="A18" s="705">
        <v>1</v>
      </c>
      <c r="B18" s="706" t="s">
        <v>871</v>
      </c>
      <c r="C18" s="88" t="s">
        <v>25</v>
      </c>
      <c r="D18" s="1063" t="s">
        <v>25</v>
      </c>
      <c r="E18" s="1064"/>
      <c r="F18" s="88">
        <v>588924.12</v>
      </c>
      <c r="G18" s="88" t="s">
        <v>25</v>
      </c>
      <c r="H18" s="1063" t="s">
        <v>25</v>
      </c>
      <c r="I18" s="1064"/>
      <c r="J18" s="580">
        <v>0</v>
      </c>
      <c r="K18" s="88" t="s">
        <v>25</v>
      </c>
      <c r="L18" s="1063" t="s">
        <v>25</v>
      </c>
      <c r="M18" s="1064"/>
      <c r="N18" s="580">
        <v>0</v>
      </c>
      <c r="O18" s="538"/>
    </row>
    <row r="19" spans="1:15" s="464" customFormat="1" ht="51">
      <c r="A19" s="705">
        <v>2</v>
      </c>
      <c r="B19" s="706" t="s">
        <v>870</v>
      </c>
      <c r="C19" s="88" t="s">
        <v>25</v>
      </c>
      <c r="D19" s="1063" t="s">
        <v>25</v>
      </c>
      <c r="E19" s="1064"/>
      <c r="F19" s="88">
        <v>0</v>
      </c>
      <c r="G19" s="88" t="s">
        <v>25</v>
      </c>
      <c r="H19" s="1063" t="s">
        <v>25</v>
      </c>
      <c r="I19" s="1064"/>
      <c r="J19" s="580">
        <v>0</v>
      </c>
      <c r="K19" s="88" t="s">
        <v>25</v>
      </c>
      <c r="L19" s="1063" t="s">
        <v>25</v>
      </c>
      <c r="M19" s="1064"/>
      <c r="N19" s="580">
        <v>0</v>
      </c>
      <c r="O19" s="538"/>
    </row>
    <row r="20" spans="1:15" s="464" customFormat="1" ht="38.25">
      <c r="A20" s="705">
        <v>3</v>
      </c>
      <c r="B20" s="706" t="s">
        <v>869</v>
      </c>
      <c r="C20" s="88">
        <v>4526126.91</v>
      </c>
      <c r="D20" s="1078">
        <v>1.5E-3</v>
      </c>
      <c r="E20" s="1079"/>
      <c r="F20" s="88">
        <v>6460.4</v>
      </c>
      <c r="G20" s="88">
        <v>4892473.47</v>
      </c>
      <c r="H20" s="1078">
        <v>1.5E-3</v>
      </c>
      <c r="I20" s="1079"/>
      <c r="J20" s="88">
        <v>6460.4</v>
      </c>
      <c r="K20" s="88">
        <v>4856891.72</v>
      </c>
      <c r="L20" s="1078">
        <v>1.5E-3</v>
      </c>
      <c r="M20" s="1079"/>
      <c r="N20" s="88">
        <v>6460.4</v>
      </c>
      <c r="O20" s="538"/>
    </row>
    <row r="21" spans="1:15" s="464" customFormat="1" hidden="1">
      <c r="A21" s="705"/>
      <c r="B21" s="706"/>
      <c r="C21" s="88"/>
      <c r="D21" s="1063"/>
      <c r="E21" s="1064"/>
      <c r="F21" s="88"/>
      <c r="G21" s="88"/>
      <c r="H21" s="1063"/>
      <c r="I21" s="1064"/>
      <c r="J21" s="580"/>
      <c r="K21" s="88"/>
      <c r="L21" s="1063"/>
      <c r="M21" s="1064"/>
      <c r="N21" s="580"/>
      <c r="O21" s="538"/>
    </row>
    <row r="22" spans="1:15" s="464" customFormat="1">
      <c r="A22" s="705"/>
      <c r="B22" s="705" t="s">
        <v>254</v>
      </c>
      <c r="C22" s="88" t="s">
        <v>25</v>
      </c>
      <c r="D22" s="1063" t="s">
        <v>25</v>
      </c>
      <c r="E22" s="1064"/>
      <c r="F22" s="88">
        <f>SUM(F20:F21)</f>
        <v>6460.4</v>
      </c>
      <c r="G22" s="88" t="s">
        <v>25</v>
      </c>
      <c r="H22" s="1063" t="s">
        <v>25</v>
      </c>
      <c r="I22" s="1064"/>
      <c r="J22" s="88">
        <f>SUM(J20:J20)</f>
        <v>6460.4</v>
      </c>
      <c r="K22" s="88" t="s">
        <v>25</v>
      </c>
      <c r="L22" s="1063" t="s">
        <v>25</v>
      </c>
      <c r="M22" s="1064"/>
      <c r="N22" s="88">
        <f>SUM(N20:N20)</f>
        <v>6460.4</v>
      </c>
      <c r="O22" s="538"/>
    </row>
    <row r="23" spans="1:15">
      <c r="A23" s="535"/>
      <c r="B23" s="535"/>
      <c r="C23" s="536"/>
      <c r="D23" s="581"/>
      <c r="E23" s="581"/>
      <c r="F23" s="536"/>
      <c r="G23" s="536"/>
      <c r="H23" s="581"/>
      <c r="I23" s="581"/>
      <c r="J23" s="536"/>
      <c r="K23" s="536"/>
      <c r="L23" s="581"/>
      <c r="M23" s="581"/>
      <c r="N23" s="536"/>
      <c r="O23" s="538"/>
    </row>
    <row r="24" spans="1:15" hidden="1">
      <c r="A24" s="583" t="s">
        <v>298</v>
      </c>
      <c r="B24" s="538"/>
      <c r="C24" s="538"/>
      <c r="D24" s="538"/>
      <c r="E24" s="538"/>
      <c r="F24" s="538"/>
      <c r="G24" s="538"/>
      <c r="H24" s="538"/>
      <c r="I24" s="538"/>
      <c r="J24" s="538"/>
      <c r="K24" s="538"/>
      <c r="L24" s="538"/>
      <c r="M24" s="538"/>
      <c r="N24" s="538"/>
      <c r="O24" s="538"/>
    </row>
    <row r="25" spans="1:15" hidden="1">
      <c r="A25" s="374" t="s">
        <v>288</v>
      </c>
      <c r="B25" s="538"/>
      <c r="C25" s="538"/>
      <c r="D25" s="538"/>
      <c r="E25" s="538"/>
      <c r="F25" s="538"/>
      <c r="G25" s="538"/>
      <c r="H25" s="538"/>
      <c r="I25" s="538"/>
      <c r="J25" s="538"/>
      <c r="K25" s="538"/>
      <c r="L25" s="538"/>
      <c r="M25" s="538"/>
      <c r="N25" s="538"/>
      <c r="O25" s="538"/>
    </row>
    <row r="26" spans="1:15" ht="25.5" hidden="1" customHeight="1">
      <c r="A26" s="583" t="s">
        <v>289</v>
      </c>
      <c r="B26" s="538"/>
      <c r="C26" s="538"/>
      <c r="D26" s="538"/>
      <c r="E26" s="538"/>
      <c r="F26" s="538"/>
      <c r="G26" s="538"/>
      <c r="H26" s="538"/>
      <c r="I26" s="538"/>
      <c r="J26" s="538"/>
      <c r="K26" s="538"/>
      <c r="L26" s="538"/>
      <c r="M26" s="538"/>
      <c r="N26" s="538"/>
      <c r="O26" s="538"/>
    </row>
    <row r="27" spans="1:15" ht="31.5" hidden="1" customHeight="1">
      <c r="A27" s="1065" t="s">
        <v>176</v>
      </c>
      <c r="B27" s="1065" t="s">
        <v>244</v>
      </c>
      <c r="C27" s="1065" t="s">
        <v>274</v>
      </c>
      <c r="D27" s="1065"/>
      <c r="E27" s="705"/>
      <c r="F27" s="1065" t="s">
        <v>275</v>
      </c>
      <c r="G27" s="1065"/>
      <c r="H27" s="1065" t="s">
        <v>276</v>
      </c>
      <c r="I27" s="1065"/>
      <c r="J27" s="1065"/>
      <c r="K27" s="538"/>
      <c r="L27" s="538"/>
      <c r="M27" s="538"/>
      <c r="N27" s="538"/>
      <c r="O27" s="538"/>
    </row>
    <row r="28" spans="1:15" ht="25.5" hidden="1" customHeight="1">
      <c r="A28" s="1065"/>
      <c r="B28" s="1065"/>
      <c r="C28" s="1065" t="s">
        <v>299</v>
      </c>
      <c r="D28" s="705" t="s">
        <v>300</v>
      </c>
      <c r="E28" s="705"/>
      <c r="F28" s="1065" t="s">
        <v>299</v>
      </c>
      <c r="G28" s="705" t="s">
        <v>300</v>
      </c>
      <c r="H28" s="1065" t="s">
        <v>299</v>
      </c>
      <c r="I28" s="705"/>
      <c r="J28" s="705" t="s">
        <v>300</v>
      </c>
      <c r="K28" s="538"/>
      <c r="L28" s="538"/>
      <c r="M28" s="538"/>
      <c r="N28" s="538"/>
      <c r="O28" s="538"/>
    </row>
    <row r="29" spans="1:15" hidden="1">
      <c r="A29" s="1065"/>
      <c r="B29" s="1065"/>
      <c r="C29" s="1065"/>
      <c r="D29" s="705" t="s">
        <v>301</v>
      </c>
      <c r="E29" s="705"/>
      <c r="F29" s="1065"/>
      <c r="G29" s="705" t="s">
        <v>301</v>
      </c>
      <c r="H29" s="1065"/>
      <c r="I29" s="705"/>
      <c r="J29" s="705" t="s">
        <v>301</v>
      </c>
      <c r="K29" s="538"/>
      <c r="L29" s="538"/>
      <c r="M29" s="538"/>
      <c r="N29" s="538"/>
      <c r="O29" s="538"/>
    </row>
    <row r="30" spans="1:15" hidden="1">
      <c r="A30" s="706"/>
      <c r="B30" s="706"/>
      <c r="C30" s="584"/>
      <c r="D30" s="584"/>
      <c r="E30" s="584"/>
      <c r="F30" s="584"/>
      <c r="G30" s="584"/>
      <c r="H30" s="584"/>
      <c r="I30" s="584"/>
      <c r="J30" s="584"/>
      <c r="K30" s="538"/>
      <c r="L30" s="538"/>
      <c r="M30" s="538"/>
      <c r="N30" s="538"/>
      <c r="O30" s="538"/>
    </row>
    <row r="31" spans="1:15" hidden="1">
      <c r="A31" s="706"/>
      <c r="B31" s="706"/>
      <c r="C31" s="585"/>
      <c r="D31" s="585"/>
      <c r="E31" s="585"/>
      <c r="F31" s="585"/>
      <c r="G31" s="585"/>
      <c r="H31" s="585"/>
      <c r="I31" s="585"/>
      <c r="J31" s="585"/>
      <c r="K31" s="538"/>
      <c r="L31" s="538"/>
      <c r="M31" s="538"/>
      <c r="N31" s="538"/>
      <c r="O31" s="538"/>
    </row>
    <row r="32" spans="1:15">
      <c r="A32" s="583"/>
      <c r="B32" s="538"/>
      <c r="C32" s="538"/>
      <c r="D32" s="538"/>
      <c r="E32" s="538"/>
      <c r="F32" s="538"/>
      <c r="G32" s="538"/>
      <c r="H32" s="538"/>
      <c r="I32" s="538"/>
      <c r="J32" s="538"/>
      <c r="K32" s="538"/>
      <c r="L32" s="538"/>
      <c r="M32" s="538"/>
      <c r="N32" s="538"/>
      <c r="O32" s="538"/>
    </row>
    <row r="87" spans="6:7">
      <c r="F87" s="112" t="e">
        <f>#REF!+#REF!+#REF!+#REF!+#REF!+#REF!+#REF!+'КВФО 2 КВР 853 295 и 241'!#REF!+'КВФО 2 КВР 853 295 и 241'!F10+'КВФО 2 КВР 853 295 и 241'!#REF!+'КВФО 2 КВР 853 295 и 241'!#REF!+'КВФО 2 КВР 853 295 и 241'!#REF!+'КВФО 2 КВР 853 295 и 241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87" s="112" t="e">
        <f>#REF!+#REF!+#REF!+#REF!+#REF!+#REF!+#REF!+'КВФО 2 КВР 853 295 и 241'!#REF!+'КВФО 2 КВР 853 295 и 241'!J10+'КВФО 2 КВР 853 295 и 241'!#REF!+'КВФО 2 КВР 853 295 и 241'!#REF!+'КВФО 2 КВР 853 295 и 241'!#REF!+'КВФО 2 КВР 853 295 и 241'!#REF!+'Лист11(225)'!J19+'Лист11(225)'!K35+'Лист11(225)'!K64+'Лист12(224,225,226,310,342-349'!K36+'Лист12(224,225,226,310,342-349'!J70+'Лист12(224,225,226,310,342-349'!J80+'Лист12(224,225,226,310,342-349'!J256</f>
        <v>#REF!</v>
      </c>
    </row>
  </sheetData>
  <mergeCells count="48">
    <mergeCell ref="D20:E20"/>
    <mergeCell ref="D21:E21"/>
    <mergeCell ref="H21:I21"/>
    <mergeCell ref="L21:M21"/>
    <mergeCell ref="D22:E22"/>
    <mergeCell ref="H22:I22"/>
    <mergeCell ref="L22:M22"/>
    <mergeCell ref="H20:I20"/>
    <mergeCell ref="L20:M20"/>
    <mergeCell ref="A27:A29"/>
    <mergeCell ref="B27:B29"/>
    <mergeCell ref="C27:D27"/>
    <mergeCell ref="F27:G27"/>
    <mergeCell ref="H27:J27"/>
    <mergeCell ref="C28:C29"/>
    <mergeCell ref="F28:F29"/>
    <mergeCell ref="H28:H29"/>
    <mergeCell ref="A16:A17"/>
    <mergeCell ref="B16:B17"/>
    <mergeCell ref="C16:F16"/>
    <mergeCell ref="G16:J16"/>
    <mergeCell ref="K16:N16"/>
    <mergeCell ref="D17:E17"/>
    <mergeCell ref="H17:I17"/>
    <mergeCell ref="L17:M17"/>
    <mergeCell ref="D19:E19"/>
    <mergeCell ref="H19:I19"/>
    <mergeCell ref="L19:M19"/>
    <mergeCell ref="D18:E18"/>
    <mergeCell ref="H18:I18"/>
    <mergeCell ref="L18:M18"/>
    <mergeCell ref="D10:E10"/>
    <mergeCell ref="H10:I10"/>
    <mergeCell ref="L10:M10"/>
    <mergeCell ref="D8:E8"/>
    <mergeCell ref="H8:I8"/>
    <mergeCell ref="L8:M8"/>
    <mergeCell ref="D9:E9"/>
    <mergeCell ref="H9:I9"/>
    <mergeCell ref="L9:M9"/>
    <mergeCell ref="A6:A7"/>
    <mergeCell ref="B6:B7"/>
    <mergeCell ref="C6:F6"/>
    <mergeCell ref="G6:J6"/>
    <mergeCell ref="K6:N6"/>
    <mergeCell ref="D7:E7"/>
    <mergeCell ref="H7:I7"/>
    <mergeCell ref="L7:M7"/>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07"/>
  <sheetViews>
    <sheetView view="pageBreakPreview" zoomScale="70" zoomScaleNormal="85" zoomScaleSheetLayoutView="70" zoomScalePageLayoutView="55" workbookViewId="0">
      <selection activeCell="I52" sqref="I52"/>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5" ht="15.75">
      <c r="A1" s="586" t="s">
        <v>302</v>
      </c>
      <c r="B1" s="538"/>
      <c r="C1" s="538"/>
      <c r="D1" s="538"/>
      <c r="E1" s="538"/>
      <c r="F1" s="538"/>
      <c r="G1" s="538"/>
      <c r="H1" s="538"/>
      <c r="I1" s="538"/>
      <c r="J1" s="538"/>
      <c r="K1" s="538"/>
      <c r="L1" s="538"/>
      <c r="M1" s="538"/>
      <c r="N1" s="538"/>
      <c r="O1" s="538"/>
    </row>
    <row r="2" spans="1:15">
      <c r="A2" s="538"/>
      <c r="B2" s="538"/>
      <c r="C2" s="538"/>
      <c r="D2" s="538"/>
      <c r="E2" s="538"/>
      <c r="F2" s="538"/>
      <c r="G2" s="538"/>
      <c r="H2" s="538"/>
      <c r="I2" s="538"/>
      <c r="J2" s="538"/>
      <c r="K2" s="538"/>
      <c r="L2" s="538"/>
      <c r="M2" s="538"/>
      <c r="N2" s="538"/>
      <c r="O2" s="538"/>
    </row>
    <row r="3" spans="1:15" ht="15.75">
      <c r="A3" s="586" t="s">
        <v>303</v>
      </c>
      <c r="B3" s="538"/>
      <c r="C3" s="538"/>
      <c r="D3" s="538"/>
      <c r="E3" s="538"/>
      <c r="F3" s="538"/>
      <c r="G3" s="538"/>
      <c r="H3" s="538"/>
      <c r="I3" s="538"/>
      <c r="J3" s="538"/>
      <c r="K3" s="538"/>
      <c r="L3" s="538"/>
      <c r="M3" s="538"/>
      <c r="N3" s="538"/>
      <c r="O3" s="538"/>
    </row>
    <row r="4" spans="1:15">
      <c r="A4" s="538"/>
      <c r="B4" s="538"/>
      <c r="C4" s="538"/>
      <c r="D4" s="538"/>
      <c r="E4" s="538"/>
      <c r="F4" s="538"/>
      <c r="G4" s="538"/>
      <c r="H4" s="538"/>
      <c r="I4" s="538"/>
      <c r="J4" s="538"/>
      <c r="K4" s="538"/>
      <c r="L4" s="538"/>
      <c r="M4" s="538"/>
      <c r="N4" s="538"/>
      <c r="O4" s="538"/>
    </row>
    <row r="5" spans="1:15" s="463" customFormat="1">
      <c r="A5" s="539" t="s">
        <v>235</v>
      </c>
      <c r="B5" s="540"/>
      <c r="C5" s="540"/>
      <c r="D5" s="540"/>
      <c r="E5" s="540"/>
      <c r="F5" s="540"/>
      <c r="G5" s="540"/>
      <c r="H5" s="540"/>
      <c r="I5" s="540"/>
      <c r="J5" s="540"/>
      <c r="K5" s="540"/>
      <c r="L5" s="540"/>
      <c r="M5" s="540"/>
      <c r="N5" s="540"/>
      <c r="O5" s="540"/>
    </row>
    <row r="6" spans="1:15" s="464" customFormat="1" ht="15.75" customHeight="1">
      <c r="A6" s="374" t="s">
        <v>236</v>
      </c>
      <c r="B6" s="538"/>
      <c r="C6" s="538"/>
      <c r="D6" s="538"/>
      <c r="E6" s="538"/>
      <c r="F6" s="538"/>
      <c r="G6" s="538"/>
      <c r="H6" s="538"/>
      <c r="I6" s="538"/>
      <c r="J6" s="538"/>
      <c r="K6" s="538"/>
      <c r="L6" s="538"/>
      <c r="M6" s="538"/>
      <c r="N6" s="538"/>
      <c r="O6" s="538"/>
    </row>
    <row r="7" spans="1:15" s="464" customFormat="1" ht="15.75" customHeight="1">
      <c r="A7" s="374" t="s">
        <v>856</v>
      </c>
      <c r="B7" s="538"/>
      <c r="C7" s="538"/>
      <c r="D7" s="538"/>
      <c r="E7" s="538"/>
      <c r="F7" s="538"/>
      <c r="G7" s="538"/>
      <c r="H7" s="538"/>
      <c r="I7" s="538"/>
      <c r="J7" s="538"/>
      <c r="K7" s="538"/>
      <c r="L7" s="538"/>
      <c r="M7" s="538"/>
      <c r="N7" s="538"/>
      <c r="O7" s="538"/>
    </row>
    <row r="8" spans="1:15" s="464" customFormat="1">
      <c r="A8" s="374" t="s">
        <v>304</v>
      </c>
      <c r="B8" s="538"/>
      <c r="C8" s="538"/>
      <c r="D8" s="538"/>
      <c r="E8" s="538"/>
      <c r="F8" s="538"/>
      <c r="G8" s="538"/>
      <c r="H8" s="538"/>
      <c r="I8" s="538"/>
      <c r="J8" s="538"/>
      <c r="K8" s="538"/>
      <c r="L8" s="538"/>
      <c r="M8" s="538"/>
      <c r="N8" s="538"/>
      <c r="O8" s="538"/>
    </row>
    <row r="9" spans="1:15" s="464" customFormat="1" ht="15" customHeight="1">
      <c r="A9" s="1068" t="s">
        <v>176</v>
      </c>
      <c r="B9" s="1068" t="s">
        <v>244</v>
      </c>
      <c r="C9" s="1068" t="s">
        <v>212</v>
      </c>
      <c r="D9" s="1066" t="s">
        <v>559</v>
      </c>
      <c r="E9" s="1069"/>
      <c r="F9" s="1069"/>
      <c r="G9" s="1067"/>
      <c r="H9" s="1066" t="s">
        <v>560</v>
      </c>
      <c r="I9" s="1069"/>
      <c r="J9" s="1069"/>
      <c r="K9" s="1067"/>
      <c r="L9" s="1066" t="s">
        <v>561</v>
      </c>
      <c r="M9" s="1069"/>
      <c r="N9" s="1069"/>
      <c r="O9" s="1067"/>
    </row>
    <row r="10" spans="1:15" s="464" customFormat="1" ht="15" customHeight="1">
      <c r="A10" s="1125"/>
      <c r="B10" s="1125"/>
      <c r="C10" s="1125"/>
      <c r="D10" s="1068" t="s">
        <v>305</v>
      </c>
      <c r="E10" s="1068" t="s">
        <v>306</v>
      </c>
      <c r="F10" s="1068" t="s">
        <v>307</v>
      </c>
      <c r="G10" s="1068" t="s">
        <v>247</v>
      </c>
      <c r="H10" s="1068" t="s">
        <v>305</v>
      </c>
      <c r="I10" s="1068" t="s">
        <v>306</v>
      </c>
      <c r="J10" s="1068" t="s">
        <v>307</v>
      </c>
      <c r="K10" s="1068" t="s">
        <v>308</v>
      </c>
      <c r="L10" s="1068" t="s">
        <v>305</v>
      </c>
      <c r="M10" s="1068" t="s">
        <v>309</v>
      </c>
      <c r="N10" s="1068" t="s">
        <v>307</v>
      </c>
      <c r="O10" s="1068" t="s">
        <v>308</v>
      </c>
    </row>
    <row r="11" spans="1:15" s="464" customFormat="1" ht="6.75" customHeight="1">
      <c r="A11" s="1125"/>
      <c r="B11" s="1125"/>
      <c r="C11" s="1125"/>
      <c r="D11" s="1125"/>
      <c r="E11" s="1125"/>
      <c r="F11" s="1125"/>
      <c r="G11" s="1125"/>
      <c r="H11" s="1125"/>
      <c r="I11" s="1125"/>
      <c r="J11" s="1125"/>
      <c r="K11" s="1125"/>
      <c r="L11" s="1125"/>
      <c r="M11" s="1125"/>
      <c r="N11" s="1125"/>
      <c r="O11" s="1125"/>
    </row>
    <row r="12" spans="1:15" s="464" customFormat="1" ht="18.75" customHeight="1">
      <c r="A12" s="1126"/>
      <c r="B12" s="1126"/>
      <c r="C12" s="1126"/>
      <c r="D12" s="1126"/>
      <c r="E12" s="1126"/>
      <c r="F12" s="1126"/>
      <c r="G12" s="1126"/>
      <c r="H12" s="1126"/>
      <c r="I12" s="1126"/>
      <c r="J12" s="1126"/>
      <c r="K12" s="1126"/>
      <c r="L12" s="1126"/>
      <c r="M12" s="1126"/>
      <c r="N12" s="1126"/>
      <c r="O12" s="1126"/>
    </row>
    <row r="13" spans="1:15" s="464" customFormat="1" ht="45">
      <c r="A13" s="704">
        <v>1</v>
      </c>
      <c r="B13" s="705" t="s">
        <v>310</v>
      </c>
      <c r="C13" s="704" t="s">
        <v>311</v>
      </c>
      <c r="D13" s="587">
        <v>1</v>
      </c>
      <c r="E13" s="704">
        <v>12</v>
      </c>
      <c r="F13" s="588">
        <v>4800</v>
      </c>
      <c r="G13" s="588">
        <v>57600</v>
      </c>
      <c r="H13" s="587">
        <v>1</v>
      </c>
      <c r="I13" s="704">
        <v>12</v>
      </c>
      <c r="J13" s="588">
        <v>5280</v>
      </c>
      <c r="K13" s="588">
        <f>H13*I13*J13</f>
        <v>63360</v>
      </c>
      <c r="L13" s="587">
        <v>1</v>
      </c>
      <c r="M13" s="704">
        <v>12</v>
      </c>
      <c r="N13" s="588">
        <v>5808</v>
      </c>
      <c r="O13" s="588">
        <f>L13*M13*N13</f>
        <v>69696</v>
      </c>
    </row>
    <row r="14" spans="1:15" s="464" customFormat="1" ht="25.5" hidden="1">
      <c r="A14" s="704">
        <v>2</v>
      </c>
      <c r="B14" s="705" t="s">
        <v>312</v>
      </c>
      <c r="C14" s="704" t="s">
        <v>313</v>
      </c>
      <c r="D14" s="589" t="e">
        <f>G14/F14/E14</f>
        <v>#DIV/0!</v>
      </c>
      <c r="E14" s="704">
        <v>0</v>
      </c>
      <c r="F14" s="588">
        <v>0</v>
      </c>
      <c r="G14" s="588">
        <v>0</v>
      </c>
      <c r="H14" s="704">
        <v>0</v>
      </c>
      <c r="I14" s="704">
        <v>0</v>
      </c>
      <c r="J14" s="588">
        <v>0</v>
      </c>
      <c r="K14" s="588">
        <f t="shared" ref="K14:K17" si="0">I14*J14*H14</f>
        <v>0</v>
      </c>
      <c r="L14" s="704">
        <v>0</v>
      </c>
      <c r="M14" s="704">
        <v>0</v>
      </c>
      <c r="N14" s="588">
        <v>0</v>
      </c>
      <c r="O14" s="588">
        <f t="shared" ref="O14:O17" si="1">M14*N14*L14</f>
        <v>0</v>
      </c>
    </row>
    <row r="15" spans="1:15" s="464" customFormat="1" ht="25.5" hidden="1">
      <c r="A15" s="704">
        <v>3</v>
      </c>
      <c r="B15" s="705" t="s">
        <v>314</v>
      </c>
      <c r="C15" s="704" t="s">
        <v>313</v>
      </c>
      <c r="D15" s="589" t="e">
        <f>G15/E15/F15</f>
        <v>#DIV/0!</v>
      </c>
      <c r="E15" s="704">
        <v>0</v>
      </c>
      <c r="F15" s="588">
        <v>0</v>
      </c>
      <c r="G15" s="588">
        <v>0</v>
      </c>
      <c r="H15" s="704">
        <v>0</v>
      </c>
      <c r="I15" s="704">
        <v>0</v>
      </c>
      <c r="J15" s="588">
        <v>0</v>
      </c>
      <c r="K15" s="588">
        <f t="shared" si="0"/>
        <v>0</v>
      </c>
      <c r="L15" s="704">
        <v>0</v>
      </c>
      <c r="M15" s="704">
        <v>0</v>
      </c>
      <c r="N15" s="588">
        <v>0</v>
      </c>
      <c r="O15" s="588">
        <f t="shared" si="1"/>
        <v>0</v>
      </c>
    </row>
    <row r="16" spans="1:15" s="464" customFormat="1" ht="21.75" hidden="1" customHeight="1">
      <c r="A16" s="704">
        <v>4</v>
      </c>
      <c r="B16" s="1068" t="s">
        <v>315</v>
      </c>
      <c r="C16" s="1127" t="s">
        <v>316</v>
      </c>
      <c r="D16" s="705">
        <v>0</v>
      </c>
      <c r="E16" s="704">
        <v>0</v>
      </c>
      <c r="F16" s="588">
        <v>0</v>
      </c>
      <c r="G16" s="588">
        <f t="shared" ref="G16:G17" si="2">E16*F16*D16</f>
        <v>0</v>
      </c>
      <c r="H16" s="704">
        <v>0</v>
      </c>
      <c r="I16" s="704">
        <v>0</v>
      </c>
      <c r="J16" s="588">
        <v>0</v>
      </c>
      <c r="K16" s="588">
        <f t="shared" si="0"/>
        <v>0</v>
      </c>
      <c r="L16" s="704">
        <v>0</v>
      </c>
      <c r="M16" s="704">
        <v>0</v>
      </c>
      <c r="N16" s="588">
        <v>0</v>
      </c>
      <c r="O16" s="588">
        <f t="shared" si="1"/>
        <v>0</v>
      </c>
    </row>
    <row r="17" spans="1:17" s="464" customFormat="1" ht="21.75" hidden="1" customHeight="1">
      <c r="A17" s="705">
        <v>5</v>
      </c>
      <c r="B17" s="1126"/>
      <c r="C17" s="1128"/>
      <c r="D17" s="705">
        <v>0</v>
      </c>
      <c r="E17" s="704">
        <v>0</v>
      </c>
      <c r="F17" s="588">
        <v>0</v>
      </c>
      <c r="G17" s="588">
        <f t="shared" si="2"/>
        <v>0</v>
      </c>
      <c r="H17" s="704">
        <v>0</v>
      </c>
      <c r="I17" s="704">
        <v>0</v>
      </c>
      <c r="J17" s="588">
        <v>0</v>
      </c>
      <c r="K17" s="588">
        <f t="shared" si="0"/>
        <v>0</v>
      </c>
      <c r="L17" s="704">
        <v>0</v>
      </c>
      <c r="M17" s="704">
        <v>0</v>
      </c>
      <c r="N17" s="588">
        <v>0</v>
      </c>
      <c r="O17" s="588">
        <f t="shared" si="1"/>
        <v>0</v>
      </c>
    </row>
    <row r="18" spans="1:17" s="464" customFormat="1" ht="30" customHeight="1">
      <c r="A18" s="1068">
        <v>2</v>
      </c>
      <c r="B18" s="1068" t="s">
        <v>317</v>
      </c>
      <c r="C18" s="1127" t="s">
        <v>318</v>
      </c>
      <c r="D18" s="587">
        <v>4</v>
      </c>
      <c r="E18" s="704">
        <v>12</v>
      </c>
      <c r="F18" s="588">
        <f>G18/E18/D18</f>
        <v>151.30000000000001</v>
      </c>
      <c r="G18" s="588">
        <f>4262.4+3000</f>
        <v>7262.4</v>
      </c>
      <c r="H18" s="587">
        <v>4</v>
      </c>
      <c r="I18" s="704">
        <v>12</v>
      </c>
      <c r="J18" s="588">
        <v>88.8</v>
      </c>
      <c r="K18" s="588">
        <f>H18*I18*J18</f>
        <v>4262.3999999999996</v>
      </c>
      <c r="L18" s="587">
        <v>4</v>
      </c>
      <c r="M18" s="704">
        <v>12</v>
      </c>
      <c r="N18" s="588">
        <v>88.8</v>
      </c>
      <c r="O18" s="588">
        <f>L18*M18*N18</f>
        <v>4262.3999999999996</v>
      </c>
      <c r="Q18" s="478"/>
    </row>
    <row r="19" spans="1:17" s="464" customFormat="1" ht="24.75" hidden="1" customHeight="1">
      <c r="A19" s="1126"/>
      <c r="B19" s="1126"/>
      <c r="C19" s="1128"/>
      <c r="D19" s="705">
        <v>0</v>
      </c>
      <c r="E19" s="704">
        <v>0</v>
      </c>
      <c r="F19" s="588">
        <v>0</v>
      </c>
      <c r="G19" s="588">
        <f>F19*D19</f>
        <v>0</v>
      </c>
      <c r="H19" s="704">
        <v>0</v>
      </c>
      <c r="I19" s="704">
        <v>0</v>
      </c>
      <c r="J19" s="588">
        <v>0</v>
      </c>
      <c r="K19" s="588">
        <f>J19*H19</f>
        <v>0</v>
      </c>
      <c r="L19" s="704">
        <v>0</v>
      </c>
      <c r="M19" s="704">
        <v>0</v>
      </c>
      <c r="N19" s="588">
        <v>0</v>
      </c>
      <c r="O19" s="588">
        <f>N19*L19</f>
        <v>0</v>
      </c>
    </row>
    <row r="20" spans="1:17" s="464" customFormat="1" ht="28.5" customHeight="1">
      <c r="A20" s="705">
        <v>3</v>
      </c>
      <c r="B20" s="1068" t="s">
        <v>319</v>
      </c>
      <c r="C20" s="704" t="s">
        <v>320</v>
      </c>
      <c r="D20" s="704">
        <v>2</v>
      </c>
      <c r="E20" s="704">
        <v>12</v>
      </c>
      <c r="F20" s="588">
        <f>G20/E20/D20</f>
        <v>2645</v>
      </c>
      <c r="G20" s="588">
        <f>63480</f>
        <v>63480</v>
      </c>
      <c r="H20" s="704">
        <v>2</v>
      </c>
      <c r="I20" s="704">
        <v>12</v>
      </c>
      <c r="J20" s="588">
        <f>K20/I20/H20</f>
        <v>2645</v>
      </c>
      <c r="K20" s="588">
        <v>63480</v>
      </c>
      <c r="L20" s="587">
        <v>2</v>
      </c>
      <c r="M20" s="704">
        <v>12</v>
      </c>
      <c r="N20" s="588">
        <f>O20/M20/L20</f>
        <v>2645</v>
      </c>
      <c r="O20" s="590">
        <v>63480</v>
      </c>
    </row>
    <row r="21" spans="1:17" s="464" customFormat="1" ht="28.5" customHeight="1">
      <c r="A21" s="705">
        <v>4</v>
      </c>
      <c r="B21" s="1126"/>
      <c r="C21" s="704" t="s">
        <v>320</v>
      </c>
      <c r="D21" s="704">
        <v>1</v>
      </c>
      <c r="E21" s="704">
        <v>12</v>
      </c>
      <c r="F21" s="588">
        <f>G21/E21</f>
        <v>7300</v>
      </c>
      <c r="G21" s="588">
        <f>87600-0.02</f>
        <v>87599.98</v>
      </c>
      <c r="H21" s="704">
        <v>1</v>
      </c>
      <c r="I21" s="704">
        <v>12</v>
      </c>
      <c r="J21" s="588">
        <f>K21/I21</f>
        <v>7300</v>
      </c>
      <c r="K21" s="588">
        <v>87600</v>
      </c>
      <c r="L21" s="704">
        <v>1</v>
      </c>
      <c r="M21" s="704">
        <v>12</v>
      </c>
      <c r="N21" s="588">
        <f>O21/M21</f>
        <v>7300</v>
      </c>
      <c r="O21" s="588">
        <v>87600</v>
      </c>
    </row>
    <row r="22" spans="1:17" s="464" customFormat="1">
      <c r="A22" s="704"/>
      <c r="B22" s="704" t="s">
        <v>254</v>
      </c>
      <c r="C22" s="704" t="s">
        <v>25</v>
      </c>
      <c r="D22" s="705" t="s">
        <v>25</v>
      </c>
      <c r="E22" s="704" t="s">
        <v>25</v>
      </c>
      <c r="F22" s="588" t="s">
        <v>25</v>
      </c>
      <c r="G22" s="588">
        <f>SUM(G13:G21)</f>
        <v>215942.38</v>
      </c>
      <c r="H22" s="588" t="s">
        <v>25</v>
      </c>
      <c r="I22" s="704" t="s">
        <v>25</v>
      </c>
      <c r="J22" s="588" t="s">
        <v>25</v>
      </c>
      <c r="K22" s="588">
        <f>SUM(K13:K21)</f>
        <v>218702.4</v>
      </c>
      <c r="L22" s="704" t="s">
        <v>25</v>
      </c>
      <c r="M22" s="704" t="s">
        <v>25</v>
      </c>
      <c r="N22" s="588" t="s">
        <v>25</v>
      </c>
      <c r="O22" s="588">
        <f>SUM(O13:O21)</f>
        <v>225038.4</v>
      </c>
    </row>
    <row r="23" spans="1:17">
      <c r="A23" s="538"/>
      <c r="B23" s="538"/>
      <c r="C23" s="538"/>
      <c r="D23" s="538"/>
      <c r="E23" s="538"/>
      <c r="F23" s="538"/>
      <c r="G23" s="538"/>
      <c r="H23" s="538"/>
      <c r="I23" s="538"/>
      <c r="J23" s="538"/>
      <c r="K23" s="538"/>
      <c r="L23" s="538"/>
      <c r="M23" s="538"/>
      <c r="N23" s="538"/>
      <c r="O23" s="538"/>
    </row>
    <row r="24" spans="1:17" s="113" customFormat="1" hidden="1">
      <c r="A24" s="543" t="s">
        <v>240</v>
      </c>
      <c r="B24" s="544"/>
      <c r="C24" s="544"/>
      <c r="D24" s="544"/>
      <c r="E24" s="544"/>
      <c r="F24" s="544"/>
      <c r="G24" s="544"/>
      <c r="H24" s="544"/>
      <c r="I24" s="544"/>
      <c r="J24" s="544"/>
      <c r="K24" s="544"/>
      <c r="L24" s="544"/>
      <c r="M24" s="544"/>
      <c r="N24" s="544"/>
      <c r="O24" s="544"/>
    </row>
    <row r="25" spans="1:17" hidden="1">
      <c r="A25" s="374" t="s">
        <v>241</v>
      </c>
      <c r="B25" s="538"/>
      <c r="C25" s="538"/>
      <c r="D25" s="538"/>
      <c r="E25" s="538"/>
      <c r="F25" s="538"/>
      <c r="G25" s="538"/>
      <c r="H25" s="538"/>
      <c r="I25" s="538"/>
      <c r="J25" s="538"/>
      <c r="K25" s="538"/>
      <c r="L25" s="538"/>
      <c r="M25" s="538"/>
      <c r="N25" s="538"/>
      <c r="O25" s="538"/>
    </row>
    <row r="26" spans="1:17" hidden="1">
      <c r="A26" s="374" t="s">
        <v>242</v>
      </c>
      <c r="B26" s="538"/>
      <c r="C26" s="538"/>
      <c r="D26" s="538"/>
      <c r="E26" s="538"/>
      <c r="F26" s="538"/>
      <c r="G26" s="538"/>
      <c r="H26" s="538"/>
      <c r="I26" s="538"/>
      <c r="J26" s="538"/>
      <c r="K26" s="538"/>
      <c r="L26" s="538"/>
      <c r="M26" s="538"/>
      <c r="N26" s="538"/>
      <c r="O26" s="538"/>
    </row>
    <row r="27" spans="1:17" hidden="1">
      <c r="A27" s="374" t="s">
        <v>304</v>
      </c>
      <c r="B27" s="538"/>
      <c r="C27" s="538"/>
      <c r="D27" s="538"/>
      <c r="E27" s="538"/>
      <c r="F27" s="538"/>
      <c r="G27" s="538"/>
      <c r="H27" s="538"/>
      <c r="I27" s="538"/>
      <c r="J27" s="538"/>
      <c r="K27" s="538"/>
      <c r="L27" s="538"/>
      <c r="M27" s="538"/>
      <c r="N27" s="538"/>
      <c r="O27" s="538"/>
    </row>
    <row r="28" spans="1:17" ht="27" hidden="1" customHeight="1">
      <c r="A28" s="1068" t="s">
        <v>176</v>
      </c>
      <c r="B28" s="1068" t="s">
        <v>244</v>
      </c>
      <c r="C28" s="1068" t="s">
        <v>212</v>
      </c>
      <c r="D28" s="1066" t="s">
        <v>559</v>
      </c>
      <c r="E28" s="1069"/>
      <c r="F28" s="1069"/>
      <c r="G28" s="1067"/>
      <c r="H28" s="1066" t="s">
        <v>560</v>
      </c>
      <c r="I28" s="1069"/>
      <c r="J28" s="1069"/>
      <c r="K28" s="1067"/>
      <c r="L28" s="1066" t="s">
        <v>561</v>
      </c>
      <c r="M28" s="1069"/>
      <c r="N28" s="1069"/>
      <c r="O28" s="1067"/>
    </row>
    <row r="29" spans="1:17" ht="15" hidden="1" customHeight="1">
      <c r="A29" s="1125"/>
      <c r="B29" s="1125"/>
      <c r="C29" s="1125"/>
      <c r="D29" s="1068" t="s">
        <v>305</v>
      </c>
      <c r="E29" s="1068" t="s">
        <v>306</v>
      </c>
      <c r="F29" s="1068" t="s">
        <v>307</v>
      </c>
      <c r="G29" s="1068" t="s">
        <v>247</v>
      </c>
      <c r="H29" s="1068" t="s">
        <v>305</v>
      </c>
      <c r="I29" s="1068" t="s">
        <v>306</v>
      </c>
      <c r="J29" s="1068" t="s">
        <v>307</v>
      </c>
      <c r="K29" s="1068" t="s">
        <v>308</v>
      </c>
      <c r="L29" s="1068" t="s">
        <v>305</v>
      </c>
      <c r="M29" s="1068" t="s">
        <v>309</v>
      </c>
      <c r="N29" s="1068" t="s">
        <v>307</v>
      </c>
      <c r="O29" s="1068" t="s">
        <v>308</v>
      </c>
    </row>
    <row r="30" spans="1:17" ht="6.75" hidden="1" customHeight="1">
      <c r="A30" s="1125"/>
      <c r="B30" s="1125"/>
      <c r="C30" s="1125"/>
      <c r="D30" s="1125"/>
      <c r="E30" s="1125"/>
      <c r="F30" s="1125"/>
      <c r="G30" s="1125"/>
      <c r="H30" s="1125"/>
      <c r="I30" s="1125"/>
      <c r="J30" s="1125"/>
      <c r="K30" s="1125"/>
      <c r="L30" s="1125"/>
      <c r="M30" s="1125"/>
      <c r="N30" s="1125"/>
      <c r="O30" s="1125"/>
    </row>
    <row r="31" spans="1:17" hidden="1">
      <c r="A31" s="1126"/>
      <c r="B31" s="1126"/>
      <c r="C31" s="1126"/>
      <c r="D31" s="1126"/>
      <c r="E31" s="1126"/>
      <c r="F31" s="1126"/>
      <c r="G31" s="1126"/>
      <c r="H31" s="1126"/>
      <c r="I31" s="1126"/>
      <c r="J31" s="1126"/>
      <c r="K31" s="1126"/>
      <c r="L31" s="1126"/>
      <c r="M31" s="1126"/>
      <c r="N31" s="1126"/>
      <c r="O31" s="1126"/>
    </row>
    <row r="32" spans="1:17" ht="89.25" hidden="1" customHeight="1">
      <c r="A32" s="704">
        <v>1</v>
      </c>
      <c r="B32" s="705" t="s">
        <v>310</v>
      </c>
      <c r="C32" s="704" t="s">
        <v>311</v>
      </c>
      <c r="D32" s="587">
        <v>0</v>
      </c>
      <c r="E32" s="704">
        <v>0</v>
      </c>
      <c r="F32" s="588">
        <v>0</v>
      </c>
      <c r="G32" s="588">
        <f>E32*F32</f>
        <v>0</v>
      </c>
      <c r="H32" s="587">
        <v>0</v>
      </c>
      <c r="I32" s="704">
        <v>0</v>
      </c>
      <c r="J32" s="588">
        <v>0</v>
      </c>
      <c r="K32" s="588">
        <v>0</v>
      </c>
      <c r="L32" s="587">
        <v>0</v>
      </c>
      <c r="M32" s="704">
        <v>0</v>
      </c>
      <c r="N32" s="588">
        <v>0</v>
      </c>
      <c r="O32" s="588">
        <v>0</v>
      </c>
    </row>
    <row r="33" spans="1:15" ht="25.5" hidden="1">
      <c r="A33" s="704">
        <v>2</v>
      </c>
      <c r="B33" s="705" t="s">
        <v>312</v>
      </c>
      <c r="C33" s="704" t="s">
        <v>313</v>
      </c>
      <c r="D33" s="589" t="e">
        <f>G33/F33/E33</f>
        <v>#DIV/0!</v>
      </c>
      <c r="E33" s="704">
        <v>0</v>
      </c>
      <c r="F33" s="588">
        <v>0</v>
      </c>
      <c r="G33" s="588">
        <v>0</v>
      </c>
      <c r="H33" s="704">
        <v>0</v>
      </c>
      <c r="I33" s="704">
        <v>0</v>
      </c>
      <c r="J33" s="588">
        <v>0</v>
      </c>
      <c r="K33" s="588">
        <v>0</v>
      </c>
      <c r="L33" s="704">
        <v>0</v>
      </c>
      <c r="M33" s="704">
        <v>0</v>
      </c>
      <c r="N33" s="588">
        <v>0</v>
      </c>
      <c r="O33" s="588">
        <v>0</v>
      </c>
    </row>
    <row r="34" spans="1:15" ht="25.5" hidden="1">
      <c r="A34" s="704">
        <v>3</v>
      </c>
      <c r="B34" s="705" t="s">
        <v>314</v>
      </c>
      <c r="C34" s="704" t="s">
        <v>313</v>
      </c>
      <c r="D34" s="589" t="e">
        <f>G34/E34/F34</f>
        <v>#DIV/0!</v>
      </c>
      <c r="E34" s="704">
        <v>0</v>
      </c>
      <c r="F34" s="588">
        <v>0</v>
      </c>
      <c r="G34" s="588">
        <v>0</v>
      </c>
      <c r="H34" s="704">
        <v>0</v>
      </c>
      <c r="I34" s="704">
        <v>0</v>
      </c>
      <c r="J34" s="588">
        <v>0</v>
      </c>
      <c r="K34" s="588">
        <v>0</v>
      </c>
      <c r="L34" s="704">
        <v>0</v>
      </c>
      <c r="M34" s="704">
        <v>0</v>
      </c>
      <c r="N34" s="588">
        <v>0</v>
      </c>
      <c r="O34" s="588">
        <v>0</v>
      </c>
    </row>
    <row r="35" spans="1:15" ht="43.5" hidden="1" customHeight="1">
      <c r="A35" s="704">
        <v>4</v>
      </c>
      <c r="B35" s="1068" t="s">
        <v>315</v>
      </c>
      <c r="C35" s="1127" t="s">
        <v>316</v>
      </c>
      <c r="D35" s="705">
        <v>0</v>
      </c>
      <c r="E35" s="704">
        <v>0</v>
      </c>
      <c r="F35" s="588">
        <v>0</v>
      </c>
      <c r="G35" s="588">
        <f>E35*F35*D35</f>
        <v>0</v>
      </c>
      <c r="H35" s="704">
        <v>0</v>
      </c>
      <c r="I35" s="704">
        <v>0</v>
      </c>
      <c r="J35" s="588">
        <v>0</v>
      </c>
      <c r="K35" s="588">
        <v>0</v>
      </c>
      <c r="L35" s="704">
        <v>0</v>
      </c>
      <c r="M35" s="704">
        <v>0</v>
      </c>
      <c r="N35" s="588">
        <v>0</v>
      </c>
      <c r="O35" s="588">
        <v>0</v>
      </c>
    </row>
    <row r="36" spans="1:15" ht="43.5" hidden="1" customHeight="1">
      <c r="A36" s="705">
        <v>5</v>
      </c>
      <c r="B36" s="1126"/>
      <c r="C36" s="1128"/>
      <c r="D36" s="705">
        <v>0</v>
      </c>
      <c r="E36" s="704">
        <v>0</v>
      </c>
      <c r="F36" s="588">
        <v>0</v>
      </c>
      <c r="G36" s="588">
        <f>E36*F36*D36</f>
        <v>0</v>
      </c>
      <c r="H36" s="704">
        <v>0</v>
      </c>
      <c r="I36" s="704">
        <v>0</v>
      </c>
      <c r="J36" s="588">
        <v>0</v>
      </c>
      <c r="K36" s="588">
        <v>0</v>
      </c>
      <c r="L36" s="704">
        <v>0</v>
      </c>
      <c r="M36" s="704">
        <v>0</v>
      </c>
      <c r="N36" s="588">
        <v>0</v>
      </c>
      <c r="O36" s="588">
        <v>0</v>
      </c>
    </row>
    <row r="37" spans="1:15" ht="42.75" hidden="1" customHeight="1">
      <c r="A37" s="1068">
        <v>2</v>
      </c>
      <c r="B37" s="1068" t="s">
        <v>317</v>
      </c>
      <c r="C37" s="1127" t="s">
        <v>318</v>
      </c>
      <c r="D37" s="587">
        <v>0</v>
      </c>
      <c r="E37" s="704">
        <v>0</v>
      </c>
      <c r="F37" s="588">
        <v>0</v>
      </c>
      <c r="G37" s="588">
        <v>0</v>
      </c>
      <c r="H37" s="587">
        <v>0</v>
      </c>
      <c r="I37" s="704">
        <v>0</v>
      </c>
      <c r="J37" s="588">
        <v>0</v>
      </c>
      <c r="K37" s="588">
        <v>0</v>
      </c>
      <c r="L37" s="587">
        <v>0</v>
      </c>
      <c r="M37" s="704">
        <v>0</v>
      </c>
      <c r="N37" s="588">
        <v>0</v>
      </c>
      <c r="O37" s="588">
        <v>0</v>
      </c>
    </row>
    <row r="38" spans="1:15" ht="24.75" hidden="1" customHeight="1">
      <c r="A38" s="1126"/>
      <c r="B38" s="1126"/>
      <c r="C38" s="1128"/>
      <c r="D38" s="705">
        <v>0</v>
      </c>
      <c r="E38" s="704">
        <v>0</v>
      </c>
      <c r="F38" s="588">
        <v>0</v>
      </c>
      <c r="G38" s="588">
        <f>F38*D38</f>
        <v>0</v>
      </c>
      <c r="H38" s="704">
        <v>0</v>
      </c>
      <c r="I38" s="704">
        <v>0</v>
      </c>
      <c r="J38" s="588">
        <v>0</v>
      </c>
      <c r="K38" s="588">
        <f>J38*H38</f>
        <v>0</v>
      </c>
      <c r="L38" s="704">
        <v>0</v>
      </c>
      <c r="M38" s="704">
        <v>0</v>
      </c>
      <c r="N38" s="588">
        <v>0</v>
      </c>
      <c r="O38" s="588">
        <f>N38*L38</f>
        <v>0</v>
      </c>
    </row>
    <row r="39" spans="1:15" ht="29.25" hidden="1" customHeight="1">
      <c r="A39" s="705">
        <v>3</v>
      </c>
      <c r="B39" s="1068" t="s">
        <v>319</v>
      </c>
      <c r="C39" s="704" t="s">
        <v>320</v>
      </c>
      <c r="D39" s="704">
        <v>0</v>
      </c>
      <c r="E39" s="704">
        <v>0</v>
      </c>
      <c r="F39" s="588">
        <v>0</v>
      </c>
      <c r="G39" s="588">
        <v>0</v>
      </c>
      <c r="H39" s="704">
        <v>0</v>
      </c>
      <c r="I39" s="704">
        <v>0</v>
      </c>
      <c r="J39" s="588">
        <v>0</v>
      </c>
      <c r="K39" s="588">
        <v>0</v>
      </c>
      <c r="L39" s="587">
        <v>0</v>
      </c>
      <c r="M39" s="704">
        <v>0</v>
      </c>
      <c r="N39" s="588">
        <v>0</v>
      </c>
      <c r="O39" s="590">
        <v>0</v>
      </c>
    </row>
    <row r="40" spans="1:15" ht="29.25" hidden="1" customHeight="1">
      <c r="A40" s="705">
        <v>4</v>
      </c>
      <c r="B40" s="1126"/>
      <c r="C40" s="704" t="s">
        <v>320</v>
      </c>
      <c r="D40" s="704">
        <v>0</v>
      </c>
      <c r="E40" s="704">
        <v>0</v>
      </c>
      <c r="F40" s="588">
        <v>0</v>
      </c>
      <c r="G40" s="588">
        <v>0</v>
      </c>
      <c r="H40" s="704">
        <v>0</v>
      </c>
      <c r="I40" s="704">
        <v>0</v>
      </c>
      <c r="J40" s="588">
        <v>0</v>
      </c>
      <c r="K40" s="588">
        <v>0</v>
      </c>
      <c r="L40" s="704">
        <v>0</v>
      </c>
      <c r="M40" s="704">
        <v>0</v>
      </c>
      <c r="N40" s="588">
        <v>0</v>
      </c>
      <c r="O40" s="588">
        <v>0</v>
      </c>
    </row>
    <row r="41" spans="1:15" hidden="1">
      <c r="A41" s="704"/>
      <c r="B41" s="704" t="s">
        <v>254</v>
      </c>
      <c r="C41" s="704" t="s">
        <v>25</v>
      </c>
      <c r="D41" s="705" t="s">
        <v>25</v>
      </c>
      <c r="E41" s="704" t="s">
        <v>25</v>
      </c>
      <c r="F41" s="588" t="s">
        <v>25</v>
      </c>
      <c r="G41" s="588">
        <f>SUM(G32:G40)</f>
        <v>0</v>
      </c>
      <c r="H41" s="588" t="s">
        <v>25</v>
      </c>
      <c r="I41" s="704" t="s">
        <v>25</v>
      </c>
      <c r="J41" s="588" t="s">
        <v>25</v>
      </c>
      <c r="K41" s="588">
        <f>SUM(K32:K40)</f>
        <v>0</v>
      </c>
      <c r="L41" s="704" t="s">
        <v>25</v>
      </c>
      <c r="M41" s="704" t="s">
        <v>25</v>
      </c>
      <c r="N41" s="588" t="s">
        <v>25</v>
      </c>
      <c r="O41" s="588">
        <f>SUM(O32:O40)</f>
        <v>0</v>
      </c>
    </row>
    <row r="42" spans="1:15" ht="15.75">
      <c r="A42" s="586"/>
      <c r="B42" s="538"/>
      <c r="C42" s="538"/>
      <c r="D42" s="538"/>
      <c r="E42" s="538"/>
      <c r="F42" s="538"/>
      <c r="G42" s="538"/>
      <c r="H42" s="538"/>
      <c r="I42" s="538"/>
      <c r="J42" s="538"/>
      <c r="K42" s="538"/>
      <c r="L42" s="538"/>
      <c r="M42" s="538"/>
      <c r="N42" s="538"/>
      <c r="O42" s="538"/>
    </row>
    <row r="107" spans="6:7">
      <c r="F107" s="112" t="e">
        <f>#REF!+#REF!+#REF!+#REF!+#REF!+#REF!+#REF!+'КВФО 2 и 4 221'!#REF!+'КВФО 2 и 4 221'!#REF!+'КВФО 2 и 4 221'!G22+'КВФО 2 и 4 221'!#REF!+'КВФО 2 и 4 221'!#REF!+'КВФО 2 и 4 221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107" s="112" t="e">
        <f>#REF!+#REF!+#REF!+#REF!+#REF!+#REF!+#REF!+'КВФО 2 и 4 221'!#REF!+'КВФО 2 и 4 221'!#REF!+'КВФО 2 и 4 221'!K22+'КВФО 2 и 4 221'!#REF!+'КВФО 2 и 4 221'!#REF!+'КВФО 2 и 4 221'!#REF!+'Лист11(225)'!J19+'Лист11(225)'!K35+'Лист11(225)'!K64+'Лист12(224,225,226,310,342-349'!K36+'Лист12(224,225,226,310,342-349'!J70+'Лист12(224,225,226,310,342-349'!J80+'Лист12(224,225,226,310,342-349'!J256</f>
        <v>#REF!</v>
      </c>
    </row>
  </sheetData>
  <mergeCells count="48">
    <mergeCell ref="B39:B40"/>
    <mergeCell ref="M29:M31"/>
    <mergeCell ref="N29:N31"/>
    <mergeCell ref="O29:O31"/>
    <mergeCell ref="B35:B36"/>
    <mergeCell ref="C35:C36"/>
    <mergeCell ref="D28:G28"/>
    <mergeCell ref="A37:A38"/>
    <mergeCell ref="B37:B38"/>
    <mergeCell ref="C37:C38"/>
    <mergeCell ref="L28:O28"/>
    <mergeCell ref="D29:D31"/>
    <mergeCell ref="E29:E31"/>
    <mergeCell ref="F29:F31"/>
    <mergeCell ref="G29:G31"/>
    <mergeCell ref="H29:H31"/>
    <mergeCell ref="I29:I31"/>
    <mergeCell ref="J29:J31"/>
    <mergeCell ref="K29:K31"/>
    <mergeCell ref="L29:L31"/>
    <mergeCell ref="H28:K28"/>
    <mergeCell ref="A9:A12"/>
    <mergeCell ref="B9:B12"/>
    <mergeCell ref="C9:C12"/>
    <mergeCell ref="B20:B21"/>
    <mergeCell ref="A28:A31"/>
    <mergeCell ref="B28:B31"/>
    <mergeCell ref="C28:C31"/>
    <mergeCell ref="B16:B17"/>
    <mergeCell ref="C16:C17"/>
    <mergeCell ref="A18:A19"/>
    <mergeCell ref="B18:B19"/>
    <mergeCell ref="C18:C19"/>
    <mergeCell ref="D9:G9"/>
    <mergeCell ref="H9:K9"/>
    <mergeCell ref="L9:O9"/>
    <mergeCell ref="D10:D12"/>
    <mergeCell ref="E10:E12"/>
    <mergeCell ref="F10:F12"/>
    <mergeCell ref="G10:G12"/>
    <mergeCell ref="N10:N12"/>
    <mergeCell ref="O10:O12"/>
    <mergeCell ref="H10:H12"/>
    <mergeCell ref="I10:I12"/>
    <mergeCell ref="J10:J12"/>
    <mergeCell ref="K10:K12"/>
    <mergeCell ref="L10:L12"/>
    <mergeCell ref="M10:M12"/>
  </mergeCells>
  <pageMargins left="1.1811023622047243" right="0.39370078740157483" top="0.78740157480314965" bottom="0.78740157480314965" header="0.31496062992125984" footer="0.31496062992125984"/>
  <pageSetup paperSize="9" scale="41" orientation="portrait" horizontalDpi="4294967295" verticalDpi="4294967295" r:id="rId1"/>
  <rowBreaks count="1" manualBreakCount="1">
    <brk id="23"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3"/>
  <sheetViews>
    <sheetView view="pageBreakPreview" zoomScale="70" zoomScaleNormal="85" zoomScaleSheetLayoutView="70" zoomScalePageLayoutView="55" workbookViewId="0">
      <selection activeCell="F26" sqref="F26"/>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9" ht="15.75">
      <c r="A1" s="586" t="s">
        <v>321</v>
      </c>
      <c r="B1" s="538"/>
      <c r="C1" s="538"/>
      <c r="D1" s="538"/>
      <c r="E1" s="538"/>
      <c r="F1" s="538"/>
      <c r="G1" s="538"/>
      <c r="H1" s="538"/>
      <c r="I1" s="538"/>
      <c r="J1" s="538"/>
      <c r="K1" s="538"/>
      <c r="L1" s="538"/>
      <c r="M1" s="538"/>
      <c r="N1" s="538"/>
      <c r="O1" s="538"/>
    </row>
    <row r="2" spans="1:19">
      <c r="A2" s="538"/>
      <c r="B2" s="538"/>
      <c r="C2" s="538"/>
      <c r="D2" s="538"/>
      <c r="E2" s="538"/>
      <c r="F2" s="538"/>
      <c r="G2" s="538"/>
      <c r="H2" s="538"/>
      <c r="I2" s="538"/>
      <c r="J2" s="538"/>
      <c r="K2" s="538"/>
      <c r="L2" s="538"/>
      <c r="M2" s="538"/>
      <c r="N2" s="538"/>
      <c r="O2" s="538"/>
    </row>
    <row r="3" spans="1:19" s="463" customFormat="1">
      <c r="A3" s="539" t="s">
        <v>235</v>
      </c>
      <c r="B3" s="540"/>
      <c r="C3" s="540"/>
      <c r="D3" s="540"/>
      <c r="E3" s="540"/>
      <c r="F3" s="540"/>
      <c r="G3" s="540"/>
      <c r="H3" s="540"/>
      <c r="I3" s="540"/>
      <c r="J3" s="540"/>
      <c r="K3" s="540"/>
      <c r="L3" s="540"/>
      <c r="M3" s="540"/>
      <c r="N3" s="540"/>
      <c r="O3" s="591"/>
    </row>
    <row r="4" spans="1:19" s="464" customFormat="1">
      <c r="A4" s="374" t="s">
        <v>236</v>
      </c>
      <c r="B4" s="538"/>
      <c r="C4" s="538"/>
      <c r="D4" s="538"/>
      <c r="E4" s="538"/>
      <c r="F4" s="538"/>
      <c r="G4" s="538"/>
      <c r="H4" s="538"/>
      <c r="I4" s="538"/>
      <c r="J4" s="538"/>
      <c r="K4" s="538"/>
      <c r="L4" s="538"/>
      <c r="M4" s="538"/>
      <c r="N4" s="538"/>
      <c r="O4" s="591"/>
    </row>
    <row r="5" spans="1:19" s="464" customFormat="1">
      <c r="A5" s="374" t="s">
        <v>856</v>
      </c>
      <c r="B5" s="538"/>
      <c r="C5" s="538"/>
      <c r="D5" s="538"/>
      <c r="E5" s="538"/>
      <c r="F5" s="542"/>
      <c r="G5" s="538"/>
      <c r="H5" s="538"/>
      <c r="I5" s="538"/>
      <c r="J5" s="538"/>
      <c r="K5" s="538"/>
      <c r="L5" s="538"/>
      <c r="M5" s="538"/>
      <c r="N5" s="538"/>
      <c r="O5" s="591"/>
    </row>
    <row r="6" spans="1:19" s="464" customFormat="1">
      <c r="A6" s="374" t="s">
        <v>322</v>
      </c>
      <c r="B6" s="538"/>
      <c r="C6" s="538"/>
      <c r="D6" s="538"/>
      <c r="E6" s="538"/>
      <c r="F6" s="542"/>
      <c r="G6" s="538"/>
      <c r="H6" s="538"/>
      <c r="I6" s="538"/>
      <c r="J6" s="538"/>
      <c r="K6" s="538"/>
      <c r="L6" s="538"/>
      <c r="M6" s="538"/>
      <c r="N6" s="538"/>
      <c r="O6" s="591"/>
    </row>
    <row r="7" spans="1:19" s="464" customFormat="1">
      <c r="A7" s="1065" t="s">
        <v>176</v>
      </c>
      <c r="B7" s="1065" t="s">
        <v>244</v>
      </c>
      <c r="C7" s="1065" t="s">
        <v>559</v>
      </c>
      <c r="D7" s="1065"/>
      <c r="E7" s="1065"/>
      <c r="F7" s="1065"/>
      <c r="G7" s="1065" t="s">
        <v>560</v>
      </c>
      <c r="H7" s="1065"/>
      <c r="I7" s="1065"/>
      <c r="J7" s="1065"/>
      <c r="K7" s="1065" t="s">
        <v>561</v>
      </c>
      <c r="L7" s="1065"/>
      <c r="M7" s="1065"/>
      <c r="N7" s="1065"/>
      <c r="O7" s="591"/>
    </row>
    <row r="8" spans="1:19" s="464" customFormat="1" ht="24.75" customHeight="1">
      <c r="A8" s="1065"/>
      <c r="B8" s="1065"/>
      <c r="C8" s="705" t="s">
        <v>323</v>
      </c>
      <c r="D8" s="1074" t="s">
        <v>324</v>
      </c>
      <c r="E8" s="1075"/>
      <c r="F8" s="707" t="s">
        <v>247</v>
      </c>
      <c r="G8" s="707" t="s">
        <v>323</v>
      </c>
      <c r="H8" s="1066" t="s">
        <v>324</v>
      </c>
      <c r="I8" s="1067"/>
      <c r="J8" s="705" t="s">
        <v>247</v>
      </c>
      <c r="K8" s="705" t="s">
        <v>323</v>
      </c>
      <c r="L8" s="1066" t="s">
        <v>324</v>
      </c>
      <c r="M8" s="1067"/>
      <c r="N8" s="705" t="s">
        <v>247</v>
      </c>
      <c r="O8" s="591"/>
    </row>
    <row r="9" spans="1:19" s="464" customFormat="1" ht="25.5">
      <c r="A9" s="705">
        <v>1</v>
      </c>
      <c r="B9" s="706" t="s">
        <v>872</v>
      </c>
      <c r="C9" s="580">
        <f>F9/D9</f>
        <v>4852</v>
      </c>
      <c r="D9" s="1072">
        <v>22.67</v>
      </c>
      <c r="E9" s="1073"/>
      <c r="F9" s="284">
        <v>110000</v>
      </c>
      <c r="G9" s="592">
        <v>3183</v>
      </c>
      <c r="H9" s="1070">
        <v>22.67</v>
      </c>
      <c r="I9" s="1071"/>
      <c r="J9" s="530">
        <v>72167.86</v>
      </c>
      <c r="K9" s="580">
        <v>3183</v>
      </c>
      <c r="L9" s="1070">
        <v>22.67</v>
      </c>
      <c r="M9" s="1071"/>
      <c r="N9" s="530">
        <v>72167.86</v>
      </c>
      <c r="O9" s="591"/>
    </row>
    <row r="10" spans="1:19" s="464" customFormat="1">
      <c r="A10" s="705">
        <v>2</v>
      </c>
      <c r="B10" s="706" t="s">
        <v>873</v>
      </c>
      <c r="C10" s="580">
        <f>F10/D10</f>
        <v>197</v>
      </c>
      <c r="D10" s="1072">
        <v>651.5</v>
      </c>
      <c r="E10" s="1073"/>
      <c r="F10" s="284">
        <v>128309.55</v>
      </c>
      <c r="G10" s="593">
        <v>171</v>
      </c>
      <c r="H10" s="1076">
        <v>651.5</v>
      </c>
      <c r="I10" s="1077"/>
      <c r="J10" s="530">
        <v>111407.4</v>
      </c>
      <c r="K10" s="594">
        <v>171</v>
      </c>
      <c r="L10" s="1076">
        <v>651.5</v>
      </c>
      <c r="M10" s="1077"/>
      <c r="N10" s="530">
        <v>111407.4</v>
      </c>
      <c r="O10" s="591"/>
    </row>
    <row r="11" spans="1:19" s="743" customFormat="1" ht="14.25">
      <c r="A11" s="736"/>
      <c r="B11" s="739" t="s">
        <v>254</v>
      </c>
      <c r="C11" s="740" t="s">
        <v>25</v>
      </c>
      <c r="D11" s="1129" t="s">
        <v>25</v>
      </c>
      <c r="E11" s="1130"/>
      <c r="F11" s="737">
        <f>F9+F10</f>
        <v>238309.55</v>
      </c>
      <c r="G11" s="741" t="s">
        <v>25</v>
      </c>
      <c r="H11" s="1131" t="s">
        <v>25</v>
      </c>
      <c r="I11" s="1132"/>
      <c r="J11" s="738">
        <f>SUM(J9:J10)</f>
        <v>183575.26</v>
      </c>
      <c r="K11" s="740" t="s">
        <v>25</v>
      </c>
      <c r="L11" s="1131" t="s">
        <v>25</v>
      </c>
      <c r="M11" s="1132"/>
      <c r="N11" s="738">
        <f>SUM(N9:N10)</f>
        <v>183575.26</v>
      </c>
      <c r="O11" s="742"/>
      <c r="Q11" s="744">
        <f>F11</f>
        <v>238309.55</v>
      </c>
      <c r="R11" s="745">
        <f>J11</f>
        <v>183575.26</v>
      </c>
      <c r="S11" s="745">
        <f>N11</f>
        <v>183575.26</v>
      </c>
    </row>
    <row r="12" spans="1:19" s="464" customFormat="1">
      <c r="A12" s="583"/>
      <c r="B12" s="538"/>
      <c r="C12" s="538"/>
      <c r="D12" s="538"/>
      <c r="E12" s="538"/>
      <c r="F12" s="538"/>
      <c r="G12" s="538"/>
      <c r="H12" s="538"/>
      <c r="I12" s="538"/>
      <c r="J12" s="538"/>
      <c r="K12" s="538"/>
      <c r="L12" s="538"/>
      <c r="M12" s="538"/>
      <c r="N12" s="538"/>
      <c r="O12" s="591"/>
      <c r="Q12" s="470">
        <f>F21</f>
        <v>166635.47</v>
      </c>
      <c r="R12" s="470">
        <f>J21</f>
        <v>224369.76</v>
      </c>
      <c r="S12" s="470">
        <f>N21</f>
        <v>224369.76</v>
      </c>
    </row>
    <row r="13" spans="1:19" s="474" customFormat="1">
      <c r="A13" s="543" t="s">
        <v>240</v>
      </c>
      <c r="B13" s="544"/>
      <c r="C13" s="544"/>
      <c r="D13" s="544"/>
      <c r="E13" s="544"/>
      <c r="F13" s="544"/>
      <c r="G13" s="544"/>
      <c r="H13" s="544"/>
      <c r="I13" s="544"/>
      <c r="J13" s="544"/>
      <c r="K13" s="544"/>
      <c r="L13" s="544"/>
      <c r="M13" s="544"/>
      <c r="N13" s="544"/>
      <c r="O13" s="591"/>
      <c r="Q13" s="475">
        <f>SUM(Q11:Q12)</f>
        <v>404945.02</v>
      </c>
      <c r="R13" s="475">
        <f t="shared" ref="R13:S13" si="0">SUM(R11:R12)</f>
        <v>407945.02</v>
      </c>
      <c r="S13" s="475">
        <f t="shared" si="0"/>
        <v>407945.02</v>
      </c>
    </row>
    <row r="14" spans="1:19" s="464" customFormat="1">
      <c r="A14" s="374" t="s">
        <v>241</v>
      </c>
      <c r="B14" s="538"/>
      <c r="C14" s="538"/>
      <c r="D14" s="538"/>
      <c r="E14" s="538"/>
      <c r="F14" s="538"/>
      <c r="G14" s="538"/>
      <c r="H14" s="538"/>
      <c r="I14" s="538"/>
      <c r="J14" s="538"/>
      <c r="K14" s="538"/>
      <c r="L14" s="538"/>
      <c r="M14" s="538"/>
      <c r="N14" s="538"/>
      <c r="O14" s="591"/>
    </row>
    <row r="15" spans="1:19" s="464" customFormat="1">
      <c r="A15" s="374" t="s">
        <v>855</v>
      </c>
      <c r="B15" s="538"/>
      <c r="C15" s="538"/>
      <c r="D15" s="538"/>
      <c r="E15" s="538"/>
      <c r="F15" s="538"/>
      <c r="G15" s="538"/>
      <c r="H15" s="538"/>
      <c r="I15" s="538"/>
      <c r="J15" s="538"/>
      <c r="K15" s="538"/>
      <c r="L15" s="538"/>
      <c r="M15" s="538"/>
      <c r="N15" s="538"/>
      <c r="O15" s="591"/>
    </row>
    <row r="16" spans="1:19" s="464" customFormat="1">
      <c r="A16" s="374" t="s">
        <v>322</v>
      </c>
      <c r="B16" s="538"/>
      <c r="C16" s="538"/>
      <c r="D16" s="538"/>
      <c r="E16" s="538"/>
      <c r="F16" s="538"/>
      <c r="G16" s="538"/>
      <c r="H16" s="538"/>
      <c r="I16" s="538"/>
      <c r="J16" s="538"/>
      <c r="K16" s="538"/>
      <c r="L16" s="538"/>
      <c r="M16" s="538"/>
      <c r="N16" s="538"/>
      <c r="O16" s="591"/>
    </row>
    <row r="17" spans="1:15" s="464" customFormat="1">
      <c r="A17" s="1065" t="s">
        <v>176</v>
      </c>
      <c r="B17" s="1065" t="s">
        <v>244</v>
      </c>
      <c r="C17" s="1065" t="s">
        <v>559</v>
      </c>
      <c r="D17" s="1065"/>
      <c r="E17" s="1065"/>
      <c r="F17" s="1065"/>
      <c r="G17" s="1065" t="s">
        <v>560</v>
      </c>
      <c r="H17" s="1065"/>
      <c r="I17" s="1065"/>
      <c r="J17" s="1065"/>
      <c r="K17" s="1065" t="s">
        <v>561</v>
      </c>
      <c r="L17" s="1065"/>
      <c r="M17" s="1065"/>
      <c r="N17" s="1065"/>
      <c r="O17" s="591"/>
    </row>
    <row r="18" spans="1:15" s="464" customFormat="1" ht="27" customHeight="1">
      <c r="A18" s="1065"/>
      <c r="B18" s="1065"/>
      <c r="C18" s="705" t="s">
        <v>323</v>
      </c>
      <c r="D18" s="1066" t="s">
        <v>324</v>
      </c>
      <c r="E18" s="1067"/>
      <c r="F18" s="705" t="s">
        <v>247</v>
      </c>
      <c r="G18" s="705" t="s">
        <v>323</v>
      </c>
      <c r="H18" s="1066" t="s">
        <v>324</v>
      </c>
      <c r="I18" s="1067"/>
      <c r="J18" s="705" t="s">
        <v>247</v>
      </c>
      <c r="K18" s="705" t="s">
        <v>323</v>
      </c>
      <c r="L18" s="1066" t="s">
        <v>324</v>
      </c>
      <c r="M18" s="1067"/>
      <c r="N18" s="705" t="s">
        <v>247</v>
      </c>
      <c r="O18" s="591"/>
    </row>
    <row r="19" spans="1:15" s="464" customFormat="1" ht="25.5">
      <c r="A19" s="705">
        <v>1</v>
      </c>
      <c r="B19" s="706" t="s">
        <v>872</v>
      </c>
      <c r="C19" s="580">
        <v>3892</v>
      </c>
      <c r="D19" s="1070">
        <v>22.67</v>
      </c>
      <c r="E19" s="1071"/>
      <c r="F19" s="88">
        <f>60000+20000</f>
        <v>80000</v>
      </c>
      <c r="G19" s="88">
        <v>3892</v>
      </c>
      <c r="H19" s="1070">
        <v>22.67</v>
      </c>
      <c r="I19" s="1071"/>
      <c r="J19" s="88">
        <v>88205.16</v>
      </c>
      <c r="K19" s="88">
        <v>3892</v>
      </c>
      <c r="L19" s="1070">
        <v>22.67</v>
      </c>
      <c r="M19" s="1071"/>
      <c r="N19" s="88">
        <v>88205.16</v>
      </c>
      <c r="O19" s="591"/>
    </row>
    <row r="20" spans="1:15" s="464" customFormat="1">
      <c r="A20" s="705">
        <v>2</v>
      </c>
      <c r="B20" s="706" t="s">
        <v>873</v>
      </c>
      <c r="C20" s="88">
        <v>209</v>
      </c>
      <c r="D20" s="1070">
        <v>651.5</v>
      </c>
      <c r="E20" s="1071"/>
      <c r="F20" s="88">
        <f>67857.17+18778.3</f>
        <v>86635.47</v>
      </c>
      <c r="G20" s="88">
        <v>209</v>
      </c>
      <c r="H20" s="1070">
        <v>651.5</v>
      </c>
      <c r="I20" s="1071"/>
      <c r="J20" s="88">
        <v>136164.6</v>
      </c>
      <c r="K20" s="88">
        <v>209</v>
      </c>
      <c r="L20" s="1070">
        <v>651.5</v>
      </c>
      <c r="M20" s="1071"/>
      <c r="N20" s="88">
        <v>136164.6</v>
      </c>
      <c r="O20" s="591"/>
    </row>
    <row r="21" spans="1:15" s="743" customFormat="1" ht="14.25">
      <c r="A21" s="736"/>
      <c r="B21" s="739" t="s">
        <v>254</v>
      </c>
      <c r="C21" s="740" t="s">
        <v>25</v>
      </c>
      <c r="D21" s="1131" t="s">
        <v>25</v>
      </c>
      <c r="E21" s="1132"/>
      <c r="F21" s="711">
        <f>SUM(F19:F20)</f>
        <v>166635.47</v>
      </c>
      <c r="G21" s="740" t="s">
        <v>25</v>
      </c>
      <c r="H21" s="1131" t="s">
        <v>25</v>
      </c>
      <c r="I21" s="1132"/>
      <c r="J21" s="711">
        <f>SUM(J19:J20)</f>
        <v>224369.76</v>
      </c>
      <c r="K21" s="740" t="s">
        <v>25</v>
      </c>
      <c r="L21" s="1131" t="s">
        <v>25</v>
      </c>
      <c r="M21" s="1132"/>
      <c r="N21" s="711">
        <f>SUM(N19:N20)</f>
        <v>224369.76</v>
      </c>
      <c r="O21" s="742"/>
    </row>
    <row r="22" spans="1:15">
      <c r="A22" s="538"/>
      <c r="B22" s="538"/>
      <c r="C22" s="538"/>
      <c r="D22" s="538"/>
      <c r="E22" s="538"/>
      <c r="F22" s="538"/>
      <c r="G22" s="538"/>
      <c r="H22" s="538"/>
      <c r="I22" s="538"/>
      <c r="J22" s="538"/>
      <c r="K22" s="538"/>
      <c r="L22" s="538"/>
      <c r="M22" s="538"/>
      <c r="N22" s="538"/>
      <c r="O22" s="591"/>
    </row>
    <row r="24" spans="1:15">
      <c r="F24" s="735">
        <f>166635.47-F21</f>
        <v>0</v>
      </c>
    </row>
    <row r="25" spans="1:15">
      <c r="F25" s="735"/>
    </row>
    <row r="27" spans="1:15">
      <c r="F27" s="112"/>
    </row>
    <row r="53" spans="6:7">
      <c r="F53" s="112" t="e">
        <f>#REF!+#REF!+#REF!+#REF!+#REF!+#REF!+#REF!+'КВФО 2 и 4 222'!#REF!+'КВФО 2 и 4 222'!#REF!+'КВФО 2 и 4 222'!#REF!+'КВФО 2 и 4 222'!F11+'КВФО 2 и 4 222'!#REF!+'КВФО 2 и 4 222'!#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53" s="112" t="e">
        <f>#REF!+#REF!+#REF!+#REF!+#REF!+#REF!+#REF!+'КВФО 2 и 4 222'!#REF!+'КВФО 2 и 4 222'!#REF!+'КВФО 2 и 4 222'!#REF!+'КВФО 2 и 4 222'!J11+'КВФО 2 и 4 222'!#REF!+'КВФО 2 и 4 222'!#REF!+'Лист11(225)'!J19+'Лист11(225)'!K35+'Лист11(225)'!K64+'Лист12(224,225,226,310,342-349'!K36+'Лист12(224,225,226,310,342-349'!J70+'Лист12(224,225,226,310,342-349'!J80+'Лист12(224,225,226,310,342-349'!J256</f>
        <v>#REF!</v>
      </c>
    </row>
  </sheetData>
  <mergeCells count="34">
    <mergeCell ref="D21:E21"/>
    <mergeCell ref="H21:I21"/>
    <mergeCell ref="L21:M21"/>
    <mergeCell ref="L18:M18"/>
    <mergeCell ref="D19:E19"/>
    <mergeCell ref="H19:I19"/>
    <mergeCell ref="L19:M19"/>
    <mergeCell ref="D20:E20"/>
    <mergeCell ref="H20:I20"/>
    <mergeCell ref="L20:M20"/>
    <mergeCell ref="D11:E11"/>
    <mergeCell ref="H11:I11"/>
    <mergeCell ref="L11:M11"/>
    <mergeCell ref="A17:A18"/>
    <mergeCell ref="B17:B18"/>
    <mergeCell ref="C17:F17"/>
    <mergeCell ref="G17:J17"/>
    <mergeCell ref="K17:N17"/>
    <mergeCell ref="D18:E18"/>
    <mergeCell ref="H18:I18"/>
    <mergeCell ref="D9:E9"/>
    <mergeCell ref="H9:I9"/>
    <mergeCell ref="L9:M9"/>
    <mergeCell ref="D10:E10"/>
    <mergeCell ref="H10:I10"/>
    <mergeCell ref="L10:M10"/>
    <mergeCell ref="A7:A8"/>
    <mergeCell ref="B7:B8"/>
    <mergeCell ref="C7:F7"/>
    <mergeCell ref="G7:J7"/>
    <mergeCell ref="K7:N7"/>
    <mergeCell ref="D8:E8"/>
    <mergeCell ref="H8:I8"/>
    <mergeCell ref="L8:M8"/>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20"/>
  <sheetViews>
    <sheetView view="pageBreakPreview" topLeftCell="A6" zoomScale="80" zoomScaleNormal="70" zoomScaleSheetLayoutView="80" workbookViewId="0">
      <selection activeCell="R62" sqref="R62"/>
    </sheetView>
  </sheetViews>
  <sheetFormatPr defaultColWidth="9.140625" defaultRowHeight="12.75"/>
  <cols>
    <col min="1" max="1" width="6.85546875" style="708" bestFit="1" customWidth="1"/>
    <col min="2" max="2" width="36.5703125" style="708" customWidth="1"/>
    <col min="3" max="3" width="10.7109375" style="708" bestFit="1" customWidth="1"/>
    <col min="4" max="4" width="11.7109375" style="708" bestFit="1" customWidth="1"/>
    <col min="5" max="5" width="12.140625" style="708" bestFit="1" customWidth="1"/>
    <col min="6" max="6" width="13.5703125" style="708" customWidth="1"/>
    <col min="7" max="7" width="13.42578125" style="708" customWidth="1"/>
    <col min="8" max="8" width="10.28515625" style="708" customWidth="1"/>
    <col min="9" max="9" width="13.140625" style="708" bestFit="1" customWidth="1"/>
    <col min="10" max="10" width="12.85546875" style="708" bestFit="1" customWidth="1"/>
    <col min="11" max="11" width="13.85546875" style="708" bestFit="1" customWidth="1"/>
    <col min="12" max="12" width="10.28515625" style="708" bestFit="1" customWidth="1"/>
    <col min="13" max="13" width="13.42578125" style="708" customWidth="1"/>
    <col min="14" max="14" width="14.140625" style="708" bestFit="1" customWidth="1"/>
    <col min="15" max="15" width="12.28515625" style="708" bestFit="1" customWidth="1"/>
    <col min="16" max="16" width="11.140625" style="708" bestFit="1" customWidth="1"/>
    <col min="17" max="16384" width="9.140625" style="708"/>
  </cols>
  <sheetData>
    <row r="1" spans="1:17" hidden="1">
      <c r="A1" s="527" t="s">
        <v>345</v>
      </c>
    </row>
    <row r="2" spans="1:17" ht="25.5" hidden="1" customHeight="1">
      <c r="A2" s="1065" t="s">
        <v>176</v>
      </c>
      <c r="B2" s="1065" t="s">
        <v>9</v>
      </c>
      <c r="C2" s="1065" t="s">
        <v>274</v>
      </c>
      <c r="D2" s="1065"/>
      <c r="E2" s="1065"/>
      <c r="F2" s="1065"/>
      <c r="G2" s="1065" t="s">
        <v>275</v>
      </c>
      <c r="H2" s="1065"/>
      <c r="I2" s="1065"/>
      <c r="J2" s="1065"/>
      <c r="K2" s="1065" t="s">
        <v>276</v>
      </c>
      <c r="L2" s="1065"/>
      <c r="M2" s="1065"/>
      <c r="N2" s="1065"/>
    </row>
    <row r="3" spans="1:17" ht="38.25" hidden="1">
      <c r="A3" s="1065"/>
      <c r="B3" s="1065"/>
      <c r="C3" s="1065" t="s">
        <v>346</v>
      </c>
      <c r="D3" s="1065" t="s">
        <v>347</v>
      </c>
      <c r="E3" s="700" t="s">
        <v>348</v>
      </c>
      <c r="F3" s="1065" t="s">
        <v>349</v>
      </c>
      <c r="G3" s="1065" t="s">
        <v>346</v>
      </c>
      <c r="H3" s="1065" t="s">
        <v>347</v>
      </c>
      <c r="I3" s="700" t="s">
        <v>348</v>
      </c>
      <c r="J3" s="1065" t="s">
        <v>349</v>
      </c>
      <c r="K3" s="1065" t="s">
        <v>346</v>
      </c>
      <c r="L3" s="1065" t="s">
        <v>347</v>
      </c>
      <c r="M3" s="700" t="s">
        <v>350</v>
      </c>
      <c r="N3" s="1065" t="s">
        <v>349</v>
      </c>
    </row>
    <row r="4" spans="1:17" ht="25.5" hidden="1">
      <c r="A4" s="1065"/>
      <c r="B4" s="1065"/>
      <c r="C4" s="1065"/>
      <c r="D4" s="1065"/>
      <c r="E4" s="700" t="s">
        <v>351</v>
      </c>
      <c r="F4" s="1065"/>
      <c r="G4" s="1065"/>
      <c r="H4" s="1065"/>
      <c r="I4" s="700" t="s">
        <v>351</v>
      </c>
      <c r="J4" s="1065"/>
      <c r="K4" s="1065"/>
      <c r="L4" s="1065"/>
      <c r="M4" s="700" t="s">
        <v>351</v>
      </c>
      <c r="N4" s="1065"/>
    </row>
    <row r="5" spans="1:17" hidden="1">
      <c r="A5" s="701"/>
      <c r="B5" s="701"/>
      <c r="C5" s="584"/>
      <c r="D5" s="584"/>
      <c r="E5" s="584"/>
      <c r="F5" s="584"/>
      <c r="G5" s="584"/>
      <c r="H5" s="584"/>
      <c r="I5" s="584"/>
      <c r="J5" s="584"/>
      <c r="K5" s="584"/>
      <c r="L5" s="584"/>
      <c r="M5" s="584"/>
      <c r="N5" s="584"/>
    </row>
    <row r="6" spans="1:17">
      <c r="A6" s="527" t="s">
        <v>352</v>
      </c>
    </row>
    <row r="8" spans="1:17">
      <c r="A8" s="527" t="s">
        <v>353</v>
      </c>
    </row>
    <row r="9" spans="1:17">
      <c r="Q9" s="708" t="s">
        <v>354</v>
      </c>
    </row>
    <row r="10" spans="1:17" s="709" customFormat="1" ht="20.25" hidden="1" customHeight="1">
      <c r="A10" s="527" t="s">
        <v>235</v>
      </c>
    </row>
    <row r="11" spans="1:17" ht="20.25" hidden="1" customHeight="1">
      <c r="A11" s="527" t="s">
        <v>236</v>
      </c>
    </row>
    <row r="12" spans="1:17" hidden="1">
      <c r="A12" s="527" t="s">
        <v>237</v>
      </c>
    </row>
    <row r="13" spans="1:17" hidden="1">
      <c r="A13" s="528" t="s">
        <v>355</v>
      </c>
    </row>
    <row r="14" spans="1:17" ht="25.5" hidden="1" customHeight="1">
      <c r="A14" s="1065" t="s">
        <v>176</v>
      </c>
      <c r="B14" s="1065" t="s">
        <v>9</v>
      </c>
      <c r="C14" s="1065" t="s">
        <v>213</v>
      </c>
      <c r="D14" s="1065"/>
      <c r="E14" s="1065"/>
      <c r="F14" s="1065"/>
      <c r="G14" s="1065" t="s">
        <v>214</v>
      </c>
      <c r="H14" s="1065"/>
      <c r="I14" s="1065"/>
      <c r="J14" s="1065"/>
      <c r="K14" s="1065" t="s">
        <v>215</v>
      </c>
      <c r="L14" s="1065"/>
      <c r="M14" s="1065"/>
      <c r="N14" s="1065"/>
    </row>
    <row r="15" spans="1:17" ht="25.5" hidden="1">
      <c r="A15" s="1065"/>
      <c r="B15" s="1065"/>
      <c r="C15" s="1065" t="s">
        <v>356</v>
      </c>
      <c r="D15" s="1065" t="s">
        <v>357</v>
      </c>
      <c r="E15" s="1065" t="s">
        <v>358</v>
      </c>
      <c r="F15" s="1065" t="s">
        <v>247</v>
      </c>
      <c r="G15" s="1065" t="s">
        <v>356</v>
      </c>
      <c r="H15" s="700" t="s">
        <v>359</v>
      </c>
      <c r="I15" s="1065" t="s">
        <v>358</v>
      </c>
      <c r="J15" s="1065" t="s">
        <v>247</v>
      </c>
      <c r="K15" s="1065" t="s">
        <v>356</v>
      </c>
      <c r="L15" s="700" t="s">
        <v>359</v>
      </c>
      <c r="M15" s="1065" t="s">
        <v>358</v>
      </c>
      <c r="N15" s="1065" t="s">
        <v>247</v>
      </c>
    </row>
    <row r="16" spans="1:17" ht="25.5" hidden="1">
      <c r="A16" s="1065"/>
      <c r="B16" s="1065"/>
      <c r="C16" s="1065"/>
      <c r="D16" s="1065"/>
      <c r="E16" s="1065"/>
      <c r="F16" s="1065"/>
      <c r="G16" s="1065"/>
      <c r="H16" s="700" t="s">
        <v>360</v>
      </c>
      <c r="I16" s="1065"/>
      <c r="J16" s="1065"/>
      <c r="K16" s="1065"/>
      <c r="L16" s="700" t="s">
        <v>360</v>
      </c>
      <c r="M16" s="1065"/>
      <c r="N16" s="1065"/>
    </row>
    <row r="17" spans="1:17" ht="22.5" hidden="1">
      <c r="A17" s="700">
        <v>1</v>
      </c>
      <c r="B17" s="701" t="s">
        <v>361</v>
      </c>
      <c r="C17" s="534" t="s">
        <v>362</v>
      </c>
      <c r="D17" s="700">
        <v>0</v>
      </c>
      <c r="E17" s="700">
        <v>0</v>
      </c>
      <c r="F17" s="88">
        <v>0</v>
      </c>
      <c r="G17" s="700">
        <v>2512.1</v>
      </c>
      <c r="H17" s="700">
        <v>0.41</v>
      </c>
      <c r="I17" s="700">
        <v>0</v>
      </c>
      <c r="J17" s="88">
        <v>0</v>
      </c>
      <c r="K17" s="700">
        <v>2512.1</v>
      </c>
      <c r="L17" s="700">
        <v>0</v>
      </c>
      <c r="M17" s="700">
        <v>0</v>
      </c>
      <c r="N17" s="88">
        <f>K17*L17*M17</f>
        <v>0</v>
      </c>
    </row>
    <row r="18" spans="1:17" ht="22.5" hidden="1">
      <c r="A18" s="700">
        <v>2</v>
      </c>
      <c r="B18" s="701" t="s">
        <v>363</v>
      </c>
      <c r="C18" s="534" t="s">
        <v>362</v>
      </c>
      <c r="D18" s="700">
        <v>0</v>
      </c>
      <c r="E18" s="700">
        <v>0</v>
      </c>
      <c r="F18" s="88">
        <v>0</v>
      </c>
      <c r="G18" s="700">
        <v>2512.1</v>
      </c>
      <c r="H18" s="700">
        <v>0.46</v>
      </c>
      <c r="I18" s="700">
        <v>0</v>
      </c>
      <c r="J18" s="88">
        <v>0</v>
      </c>
      <c r="K18" s="700">
        <v>2512.1</v>
      </c>
      <c r="L18" s="700">
        <v>0</v>
      </c>
      <c r="M18" s="700">
        <v>0</v>
      </c>
      <c r="N18" s="88">
        <f>K18*L18*M18</f>
        <v>0</v>
      </c>
    </row>
    <row r="19" spans="1:17" hidden="1">
      <c r="A19" s="700"/>
      <c r="B19" s="710" t="s">
        <v>254</v>
      </c>
      <c r="C19" s="700" t="s">
        <v>25</v>
      </c>
      <c r="D19" s="700" t="s">
        <v>25</v>
      </c>
      <c r="E19" s="700" t="s">
        <v>25</v>
      </c>
      <c r="F19" s="711">
        <f>SUM(F17:F18)</f>
        <v>0</v>
      </c>
      <c r="G19" s="700" t="s">
        <v>25</v>
      </c>
      <c r="H19" s="700" t="s">
        <v>25</v>
      </c>
      <c r="I19" s="700" t="s">
        <v>25</v>
      </c>
      <c r="J19" s="88">
        <f>SUM(J17:J18)</f>
        <v>0</v>
      </c>
      <c r="K19" s="700" t="s">
        <v>25</v>
      </c>
      <c r="L19" s="700" t="s">
        <v>25</v>
      </c>
      <c r="M19" s="700" t="s">
        <v>25</v>
      </c>
      <c r="N19" s="88">
        <f>SUM(N17:N18)</f>
        <v>0</v>
      </c>
    </row>
    <row r="20" spans="1:17" hidden="1"/>
    <row r="21" spans="1:17">
      <c r="A21" s="726" t="s">
        <v>364</v>
      </c>
      <c r="B21" s="727"/>
      <c r="C21" s="727"/>
      <c r="D21" s="727"/>
      <c r="E21" s="727"/>
      <c r="F21" s="727"/>
    </row>
    <row r="23" spans="1:17" s="709" customFormat="1">
      <c r="A23" s="529" t="s">
        <v>235</v>
      </c>
    </row>
    <row r="24" spans="1:17" ht="18.75" customHeight="1">
      <c r="A24" s="527" t="s">
        <v>236</v>
      </c>
    </row>
    <row r="25" spans="1:17" ht="13.5" customHeight="1">
      <c r="A25" s="527" t="s">
        <v>856</v>
      </c>
    </row>
    <row r="26" spans="1:17">
      <c r="A26" s="528" t="s">
        <v>355</v>
      </c>
    </row>
    <row r="27" spans="1:17" ht="25.5" customHeight="1">
      <c r="A27" s="1065" t="s">
        <v>176</v>
      </c>
      <c r="B27" s="1065" t="s">
        <v>9</v>
      </c>
      <c r="C27" s="1065" t="s">
        <v>365</v>
      </c>
      <c r="D27" s="1065" t="s">
        <v>559</v>
      </c>
      <c r="E27" s="1065"/>
      <c r="F27" s="1065"/>
      <c r="G27" s="1065"/>
      <c r="H27" s="1065" t="s">
        <v>560</v>
      </c>
      <c r="I27" s="1065"/>
      <c r="J27" s="1065"/>
      <c r="K27" s="1065"/>
      <c r="L27" s="1065" t="s">
        <v>561</v>
      </c>
      <c r="M27" s="1065"/>
      <c r="N27" s="1065"/>
      <c r="O27" s="1065"/>
    </row>
    <row r="28" spans="1:17" ht="28.5" customHeight="1">
      <c r="A28" s="1065"/>
      <c r="B28" s="1065"/>
      <c r="C28" s="1065"/>
      <c r="D28" s="700" t="s">
        <v>366</v>
      </c>
      <c r="E28" s="700" t="s">
        <v>367</v>
      </c>
      <c r="F28" s="1065" t="s">
        <v>368</v>
      </c>
      <c r="G28" s="700" t="s">
        <v>300</v>
      </c>
      <c r="H28" s="1065" t="s">
        <v>369</v>
      </c>
      <c r="I28" s="700" t="s">
        <v>370</v>
      </c>
      <c r="J28" s="1065" t="s">
        <v>368</v>
      </c>
      <c r="K28" s="700" t="s">
        <v>300</v>
      </c>
      <c r="L28" s="1065" t="s">
        <v>369</v>
      </c>
      <c r="M28" s="700" t="s">
        <v>370</v>
      </c>
      <c r="N28" s="1065" t="s">
        <v>368</v>
      </c>
      <c r="O28" s="700" t="s">
        <v>300</v>
      </c>
    </row>
    <row r="29" spans="1:17" ht="20.25" customHeight="1">
      <c r="A29" s="1065"/>
      <c r="B29" s="1065"/>
      <c r="C29" s="1065"/>
      <c r="D29" s="700" t="s">
        <v>371</v>
      </c>
      <c r="E29" s="700" t="s">
        <v>372</v>
      </c>
      <c r="F29" s="1065"/>
      <c r="G29" s="700" t="s">
        <v>301</v>
      </c>
      <c r="H29" s="1065"/>
      <c r="I29" s="700" t="s">
        <v>373</v>
      </c>
      <c r="J29" s="1065"/>
      <c r="K29" s="700" t="s">
        <v>301</v>
      </c>
      <c r="L29" s="1065"/>
      <c r="M29" s="700" t="s">
        <v>373</v>
      </c>
      <c r="N29" s="1065"/>
      <c r="O29" s="700" t="s">
        <v>301</v>
      </c>
    </row>
    <row r="30" spans="1:17" ht="30" customHeight="1">
      <c r="A30" s="700">
        <v>1</v>
      </c>
      <c r="B30" s="701" t="s">
        <v>374</v>
      </c>
      <c r="C30" s="700">
        <v>925.05</v>
      </c>
      <c r="D30" s="531">
        <v>0</v>
      </c>
      <c r="E30" s="580">
        <v>0</v>
      </c>
      <c r="F30" s="589">
        <v>0</v>
      </c>
      <c r="G30" s="712">
        <v>0</v>
      </c>
      <c r="H30" s="531">
        <v>0</v>
      </c>
      <c r="I30" s="580">
        <v>0</v>
      </c>
      <c r="J30" s="589">
        <v>0</v>
      </c>
      <c r="K30" s="712">
        <v>0</v>
      </c>
      <c r="L30" s="531">
        <v>0</v>
      </c>
      <c r="M30" s="580">
        <v>0</v>
      </c>
      <c r="N30" s="589">
        <v>0</v>
      </c>
      <c r="O30" s="712">
        <v>0</v>
      </c>
      <c r="Q30" s="708" t="s">
        <v>375</v>
      </c>
    </row>
    <row r="31" spans="1:17" ht="38.25" hidden="1">
      <c r="A31" s="700">
        <v>2</v>
      </c>
      <c r="B31" s="701" t="s">
        <v>376</v>
      </c>
      <c r="C31" s="534">
        <v>1165</v>
      </c>
      <c r="D31" s="700">
        <v>52000</v>
      </c>
      <c r="E31" s="580">
        <v>0</v>
      </c>
      <c r="F31" s="589">
        <v>0</v>
      </c>
      <c r="G31" s="712">
        <f>D31*F31*E31</f>
        <v>0</v>
      </c>
      <c r="H31" s="700">
        <v>0</v>
      </c>
      <c r="I31" s="580">
        <v>0</v>
      </c>
      <c r="J31" s="700">
        <v>0</v>
      </c>
      <c r="K31" s="712">
        <v>0</v>
      </c>
      <c r="L31" s="700">
        <v>0</v>
      </c>
      <c r="M31" s="580">
        <v>0</v>
      </c>
      <c r="N31" s="700">
        <v>0</v>
      </c>
      <c r="O31" s="712">
        <v>0</v>
      </c>
    </row>
    <row r="32" spans="1:17" ht="25.5" hidden="1">
      <c r="A32" s="700">
        <v>3</v>
      </c>
      <c r="B32" s="701" t="s">
        <v>377</v>
      </c>
      <c r="C32" s="700">
        <v>0</v>
      </c>
      <c r="D32" s="700">
        <v>0</v>
      </c>
      <c r="E32" s="580">
        <v>0</v>
      </c>
      <c r="F32" s="700">
        <v>0</v>
      </c>
      <c r="G32" s="713">
        <f>C32*D32*E32*F32</f>
        <v>0</v>
      </c>
      <c r="H32" s="700">
        <v>42.15</v>
      </c>
      <c r="I32" s="580">
        <v>0</v>
      </c>
      <c r="J32" s="700">
        <v>0</v>
      </c>
      <c r="K32" s="712">
        <f>C32*H32*I32*J32</f>
        <v>0</v>
      </c>
      <c r="L32" s="700">
        <v>42.15</v>
      </c>
      <c r="M32" s="580">
        <v>0</v>
      </c>
      <c r="N32" s="700">
        <v>0</v>
      </c>
      <c r="O32" s="712">
        <f>C32*L32*M32*N32</f>
        <v>0</v>
      </c>
    </row>
    <row r="33" spans="1:17" ht="57" hidden="1" customHeight="1">
      <c r="A33" s="700">
        <v>4</v>
      </c>
      <c r="B33" s="701" t="s">
        <v>378</v>
      </c>
      <c r="C33" s="700">
        <v>741.23</v>
      </c>
      <c r="D33" s="714">
        <v>0</v>
      </c>
      <c r="E33" s="714">
        <v>0</v>
      </c>
      <c r="F33" s="714">
        <v>0</v>
      </c>
      <c r="G33" s="714">
        <v>0</v>
      </c>
      <c r="H33" s="700">
        <v>9.82</v>
      </c>
      <c r="I33" s="580">
        <v>0</v>
      </c>
      <c r="J33" s="700">
        <v>0</v>
      </c>
      <c r="K33" s="712">
        <f>C33*H33*I33*J33</f>
        <v>0</v>
      </c>
      <c r="L33" s="700">
        <v>9.82</v>
      </c>
      <c r="M33" s="580">
        <v>0</v>
      </c>
      <c r="N33" s="700">
        <v>0</v>
      </c>
      <c r="O33" s="712">
        <f>C33*L33*M33*N33</f>
        <v>0</v>
      </c>
    </row>
    <row r="34" spans="1:17" ht="57" hidden="1" customHeight="1">
      <c r="A34" s="700">
        <v>5</v>
      </c>
      <c r="B34" s="701" t="s">
        <v>379</v>
      </c>
      <c r="C34" s="700">
        <v>1972.5</v>
      </c>
      <c r="D34" s="714">
        <v>0</v>
      </c>
      <c r="E34" s="714">
        <v>0</v>
      </c>
      <c r="F34" s="714">
        <v>0</v>
      </c>
      <c r="G34" s="714">
        <v>0</v>
      </c>
      <c r="H34" s="700">
        <v>54.49</v>
      </c>
      <c r="I34" s="580">
        <v>0</v>
      </c>
      <c r="J34" s="700">
        <v>0</v>
      </c>
      <c r="K34" s="712">
        <f>C34*H34*I34*J34</f>
        <v>0</v>
      </c>
      <c r="L34" s="700">
        <v>54.49</v>
      </c>
      <c r="M34" s="580">
        <v>0</v>
      </c>
      <c r="N34" s="700">
        <v>0</v>
      </c>
      <c r="O34" s="712">
        <f>C34*L34*M34*N34</f>
        <v>0</v>
      </c>
    </row>
    <row r="35" spans="1:17">
      <c r="A35" s="701"/>
      <c r="B35" s="710" t="s">
        <v>254</v>
      </c>
      <c r="C35" s="700" t="s">
        <v>25</v>
      </c>
      <c r="D35" s="700" t="s">
        <v>25</v>
      </c>
      <c r="E35" s="700" t="s">
        <v>25</v>
      </c>
      <c r="F35" s="700" t="s">
        <v>25</v>
      </c>
      <c r="G35" s="712">
        <f>SUM(G30:G33)</f>
        <v>0</v>
      </c>
      <c r="H35" s="700" t="s">
        <v>25</v>
      </c>
      <c r="I35" s="700" t="s">
        <v>25</v>
      </c>
      <c r="J35" s="700" t="s">
        <v>25</v>
      </c>
      <c r="K35" s="712">
        <f>SUM(K30:K34)</f>
        <v>0</v>
      </c>
      <c r="L35" s="700" t="s">
        <v>25</v>
      </c>
      <c r="M35" s="700" t="s">
        <v>25</v>
      </c>
      <c r="N35" s="700" t="s">
        <v>25</v>
      </c>
      <c r="O35" s="712">
        <f>SUM(O30:O34)</f>
        <v>0</v>
      </c>
    </row>
    <row r="36" spans="1:17">
      <c r="D36" s="715"/>
    </row>
    <row r="37" spans="1:17" s="716" customFormat="1">
      <c r="A37" s="537" t="s">
        <v>240</v>
      </c>
    </row>
    <row r="38" spans="1:17" ht="22.5" customHeight="1">
      <c r="A38" s="527" t="s">
        <v>241</v>
      </c>
      <c r="G38" s="717"/>
    </row>
    <row r="39" spans="1:17">
      <c r="A39" s="527" t="s">
        <v>855</v>
      </c>
      <c r="G39" s="718"/>
      <c r="H39" s="719"/>
    </row>
    <row r="40" spans="1:17">
      <c r="A40" s="528" t="s">
        <v>355</v>
      </c>
    </row>
    <row r="41" spans="1:17" ht="15" customHeight="1">
      <c r="A41" s="1065" t="s">
        <v>176</v>
      </c>
      <c r="B41" s="1065" t="s">
        <v>9</v>
      </c>
      <c r="C41" s="1065" t="s">
        <v>365</v>
      </c>
      <c r="D41" s="1065" t="s">
        <v>559</v>
      </c>
      <c r="E41" s="1065"/>
      <c r="F41" s="1065"/>
      <c r="G41" s="1065"/>
      <c r="H41" s="1065" t="s">
        <v>560</v>
      </c>
      <c r="I41" s="1065"/>
      <c r="J41" s="1065"/>
      <c r="K41" s="1065"/>
      <c r="L41" s="1065" t="s">
        <v>561</v>
      </c>
      <c r="M41" s="1065"/>
      <c r="N41" s="1065"/>
      <c r="O41" s="1065"/>
    </row>
    <row r="42" spans="1:17" ht="25.5">
      <c r="A42" s="1065"/>
      <c r="B42" s="1065"/>
      <c r="C42" s="1065"/>
      <c r="D42" s="700" t="s">
        <v>366</v>
      </c>
      <c r="E42" s="700" t="s">
        <v>367</v>
      </c>
      <c r="F42" s="1065" t="s">
        <v>368</v>
      </c>
      <c r="G42" s="700" t="s">
        <v>300</v>
      </c>
      <c r="H42" s="1065" t="s">
        <v>369</v>
      </c>
      <c r="I42" s="700" t="s">
        <v>370</v>
      </c>
      <c r="J42" s="1065" t="s">
        <v>368</v>
      </c>
      <c r="K42" s="700" t="s">
        <v>300</v>
      </c>
      <c r="L42" s="1065" t="s">
        <v>369</v>
      </c>
      <c r="M42" s="700" t="s">
        <v>370</v>
      </c>
      <c r="N42" s="1065" t="s">
        <v>368</v>
      </c>
      <c r="O42" s="700" t="s">
        <v>300</v>
      </c>
    </row>
    <row r="43" spans="1:17">
      <c r="A43" s="1065"/>
      <c r="B43" s="1065"/>
      <c r="C43" s="1065"/>
      <c r="D43" s="700" t="s">
        <v>371</v>
      </c>
      <c r="E43" s="700" t="s">
        <v>372</v>
      </c>
      <c r="F43" s="1065"/>
      <c r="G43" s="700" t="s">
        <v>301</v>
      </c>
      <c r="H43" s="1065"/>
      <c r="I43" s="700" t="s">
        <v>373</v>
      </c>
      <c r="J43" s="1065"/>
      <c r="K43" s="700" t="s">
        <v>301</v>
      </c>
      <c r="L43" s="1065"/>
      <c r="M43" s="700" t="s">
        <v>373</v>
      </c>
      <c r="N43" s="1065"/>
      <c r="O43" s="700" t="s">
        <v>301</v>
      </c>
    </row>
    <row r="44" spans="1:17" ht="25.5">
      <c r="A44" s="700">
        <v>1</v>
      </c>
      <c r="B44" s="701" t="s">
        <v>374</v>
      </c>
      <c r="C44" s="700">
        <v>925.05</v>
      </c>
      <c r="D44" s="531">
        <v>0</v>
      </c>
      <c r="E44" s="580">
        <v>0</v>
      </c>
      <c r="F44" s="589">
        <v>0</v>
      </c>
      <c r="G44" s="712">
        <v>0</v>
      </c>
      <c r="H44" s="531">
        <v>0</v>
      </c>
      <c r="I44" s="580">
        <v>0</v>
      </c>
      <c r="J44" s="589">
        <v>0</v>
      </c>
      <c r="K44" s="712">
        <v>0</v>
      </c>
      <c r="L44" s="531">
        <v>0</v>
      </c>
      <c r="M44" s="580">
        <v>0</v>
      </c>
      <c r="N44" s="589">
        <v>0</v>
      </c>
      <c r="O44" s="712">
        <v>0</v>
      </c>
      <c r="Q44" s="708" t="s">
        <v>380</v>
      </c>
    </row>
    <row r="45" spans="1:17" ht="57" hidden="1" customHeight="1">
      <c r="A45" s="579">
        <v>2</v>
      </c>
      <c r="B45" s="701" t="s">
        <v>378</v>
      </c>
      <c r="C45" s="700">
        <v>741.23</v>
      </c>
      <c r="D45" s="700">
        <v>9.82</v>
      </c>
      <c r="E45" s="580">
        <v>0</v>
      </c>
      <c r="F45" s="700">
        <v>0</v>
      </c>
      <c r="G45" s="712">
        <v>0</v>
      </c>
      <c r="H45" s="714">
        <v>0</v>
      </c>
      <c r="I45" s="714">
        <v>0</v>
      </c>
      <c r="J45" s="714">
        <v>0</v>
      </c>
      <c r="K45" s="714">
        <v>0</v>
      </c>
      <c r="L45" s="714">
        <v>0</v>
      </c>
      <c r="M45" s="714">
        <v>0</v>
      </c>
      <c r="N45" s="714">
        <v>0</v>
      </c>
      <c r="O45" s="712">
        <f>C45*L45*M45*N45</f>
        <v>0</v>
      </c>
    </row>
    <row r="46" spans="1:17" ht="57" hidden="1" customHeight="1">
      <c r="A46" s="579">
        <v>3</v>
      </c>
      <c r="B46" s="701" t="s">
        <v>379</v>
      </c>
      <c r="C46" s="700">
        <v>1972.5</v>
      </c>
      <c r="D46" s="714">
        <v>0</v>
      </c>
      <c r="E46" s="714">
        <v>0</v>
      </c>
      <c r="F46" s="714">
        <v>0</v>
      </c>
      <c r="G46" s="714">
        <v>0</v>
      </c>
      <c r="H46" s="700">
        <v>54.49</v>
      </c>
      <c r="I46" s="580">
        <v>1</v>
      </c>
      <c r="J46" s="700">
        <v>2</v>
      </c>
      <c r="K46" s="712">
        <v>0</v>
      </c>
      <c r="L46" s="714">
        <v>0</v>
      </c>
      <c r="M46" s="714">
        <v>0</v>
      </c>
      <c r="N46" s="714">
        <v>0</v>
      </c>
      <c r="O46" s="712">
        <f>C46*L46*M46*N46</f>
        <v>0</v>
      </c>
    </row>
    <row r="47" spans="1:17">
      <c r="A47" s="701"/>
      <c r="B47" s="710" t="s">
        <v>254</v>
      </c>
      <c r="C47" s="700" t="s">
        <v>25</v>
      </c>
      <c r="D47" s="700" t="s">
        <v>25</v>
      </c>
      <c r="E47" s="700" t="s">
        <v>25</v>
      </c>
      <c r="F47" s="700" t="s">
        <v>25</v>
      </c>
      <c r="G47" s="712">
        <f>SUM(G44:G46)</f>
        <v>0</v>
      </c>
      <c r="H47" s="700" t="s">
        <v>25</v>
      </c>
      <c r="I47" s="700" t="s">
        <v>25</v>
      </c>
      <c r="J47" s="700" t="s">
        <v>25</v>
      </c>
      <c r="K47" s="712">
        <f>SUM(K44:K46)</f>
        <v>0</v>
      </c>
      <c r="L47" s="700" t="s">
        <v>25</v>
      </c>
      <c r="M47" s="700" t="s">
        <v>25</v>
      </c>
      <c r="N47" s="700" t="s">
        <v>25</v>
      </c>
      <c r="O47" s="712">
        <f>SUM(O44:O46)</f>
        <v>0</v>
      </c>
    </row>
    <row r="48" spans="1:17">
      <c r="A48" s="722"/>
      <c r="B48" s="723"/>
      <c r="C48" s="724"/>
      <c r="D48" s="724"/>
      <c r="E48" s="724"/>
      <c r="F48" s="724"/>
      <c r="G48" s="725"/>
      <c r="H48" s="724"/>
      <c r="I48" s="724"/>
      <c r="J48" s="724"/>
      <c r="K48" s="725"/>
      <c r="L48" s="724"/>
      <c r="M48" s="724"/>
      <c r="N48" s="724"/>
      <c r="O48" s="725"/>
    </row>
    <row r="49" spans="1:15">
      <c r="A49" s="529" t="s">
        <v>235</v>
      </c>
      <c r="B49" s="709"/>
      <c r="C49" s="709"/>
      <c r="D49" s="709"/>
      <c r="E49" s="709"/>
      <c r="F49" s="709"/>
      <c r="G49" s="709"/>
      <c r="H49" s="709"/>
      <c r="I49" s="709"/>
      <c r="J49" s="709"/>
      <c r="K49" s="709"/>
      <c r="L49" s="709"/>
      <c r="M49" s="709"/>
      <c r="N49" s="709"/>
      <c r="O49" s="709"/>
    </row>
    <row r="50" spans="1:15">
      <c r="A50" s="527" t="s">
        <v>236</v>
      </c>
    </row>
    <row r="51" spans="1:15">
      <c r="A51" s="527" t="s">
        <v>856</v>
      </c>
    </row>
    <row r="52" spans="1:15">
      <c r="A52" s="528" t="s">
        <v>860</v>
      </c>
    </row>
    <row r="53" spans="1:15">
      <c r="A53" s="1065" t="s">
        <v>176</v>
      </c>
      <c r="B53" s="1065" t="s">
        <v>9</v>
      </c>
      <c r="C53" s="1065" t="s">
        <v>365</v>
      </c>
      <c r="D53" s="1065" t="s">
        <v>559</v>
      </c>
      <c r="E53" s="1065"/>
      <c r="F53" s="1065"/>
      <c r="G53" s="1065"/>
      <c r="H53" s="1065" t="s">
        <v>560</v>
      </c>
      <c r="I53" s="1065"/>
      <c r="J53" s="1065"/>
      <c r="K53" s="1065"/>
      <c r="L53" s="1065" t="s">
        <v>561</v>
      </c>
      <c r="M53" s="1065"/>
      <c r="N53" s="1065"/>
      <c r="O53" s="1065"/>
    </row>
    <row r="54" spans="1:15" ht="25.5">
      <c r="A54" s="1065"/>
      <c r="B54" s="1065"/>
      <c r="C54" s="1065"/>
      <c r="D54" s="700" t="s">
        <v>366</v>
      </c>
      <c r="E54" s="700" t="s">
        <v>367</v>
      </c>
      <c r="F54" s="1065" t="s">
        <v>368</v>
      </c>
      <c r="G54" s="700" t="s">
        <v>300</v>
      </c>
      <c r="H54" s="1065" t="s">
        <v>369</v>
      </c>
      <c r="I54" s="700" t="s">
        <v>370</v>
      </c>
      <c r="J54" s="1065" t="s">
        <v>368</v>
      </c>
      <c r="K54" s="700" t="s">
        <v>300</v>
      </c>
      <c r="L54" s="1065" t="s">
        <v>369</v>
      </c>
      <c r="M54" s="700" t="s">
        <v>370</v>
      </c>
      <c r="N54" s="1065" t="s">
        <v>368</v>
      </c>
      <c r="O54" s="700" t="s">
        <v>300</v>
      </c>
    </row>
    <row r="55" spans="1:15">
      <c r="A55" s="1065"/>
      <c r="B55" s="1065"/>
      <c r="C55" s="1065"/>
      <c r="D55" s="700" t="s">
        <v>371</v>
      </c>
      <c r="E55" s="700" t="s">
        <v>372</v>
      </c>
      <c r="F55" s="1065"/>
      <c r="G55" s="700" t="s">
        <v>301</v>
      </c>
      <c r="H55" s="1065"/>
      <c r="I55" s="700" t="s">
        <v>373</v>
      </c>
      <c r="J55" s="1065"/>
      <c r="K55" s="700" t="s">
        <v>301</v>
      </c>
      <c r="L55" s="1065"/>
      <c r="M55" s="700" t="s">
        <v>373</v>
      </c>
      <c r="N55" s="1065"/>
      <c r="O55" s="700" t="s">
        <v>301</v>
      </c>
    </row>
    <row r="56" spans="1:15" ht="25.5">
      <c r="A56" s="700">
        <v>1</v>
      </c>
      <c r="B56" s="701" t="s">
        <v>374</v>
      </c>
      <c r="C56" s="700">
        <v>925.05</v>
      </c>
      <c r="D56" s="531">
        <v>1.61</v>
      </c>
      <c r="E56" s="580">
        <f>G56/F56/D56/C56</f>
        <v>23</v>
      </c>
      <c r="F56" s="589">
        <v>12</v>
      </c>
      <c r="G56" s="712">
        <v>413680.26</v>
      </c>
      <c r="H56" s="531">
        <v>1.61</v>
      </c>
      <c r="I56" s="580">
        <f>K56/J56/H56/C56</f>
        <v>17</v>
      </c>
      <c r="J56" s="589">
        <v>12</v>
      </c>
      <c r="K56" s="712">
        <v>307637.88</v>
      </c>
      <c r="L56" s="531">
        <v>1.61</v>
      </c>
      <c r="M56" s="580">
        <f>O56/N56/L56/C56</f>
        <v>17</v>
      </c>
      <c r="N56" s="589">
        <v>12</v>
      </c>
      <c r="O56" s="712">
        <v>309285.86</v>
      </c>
    </row>
    <row r="57" spans="1:15" ht="38.25" hidden="1">
      <c r="A57" s="700">
        <v>2</v>
      </c>
      <c r="B57" s="701" t="s">
        <v>376</v>
      </c>
      <c r="C57" s="534">
        <v>1165</v>
      </c>
      <c r="D57" s="700">
        <v>52000</v>
      </c>
      <c r="E57" s="580">
        <v>0</v>
      </c>
      <c r="F57" s="589">
        <v>0</v>
      </c>
      <c r="G57" s="712">
        <f>D57*F57*E57</f>
        <v>0</v>
      </c>
      <c r="H57" s="700">
        <v>0</v>
      </c>
      <c r="I57" s="580">
        <v>0</v>
      </c>
      <c r="J57" s="700">
        <v>0</v>
      </c>
      <c r="K57" s="712">
        <v>0</v>
      </c>
      <c r="L57" s="700">
        <v>0</v>
      </c>
      <c r="M57" s="580">
        <v>0</v>
      </c>
      <c r="N57" s="700">
        <v>0</v>
      </c>
      <c r="O57" s="712">
        <v>0</v>
      </c>
    </row>
    <row r="58" spans="1:15" ht="25.5" hidden="1">
      <c r="A58" s="700">
        <v>3</v>
      </c>
      <c r="B58" s="701" t="s">
        <v>377</v>
      </c>
      <c r="C58" s="700">
        <v>0</v>
      </c>
      <c r="D58" s="700">
        <v>0</v>
      </c>
      <c r="E58" s="580">
        <v>0</v>
      </c>
      <c r="F58" s="700">
        <v>0</v>
      </c>
      <c r="G58" s="713">
        <f>C58*D58*E58*F58</f>
        <v>0</v>
      </c>
      <c r="H58" s="700">
        <v>42.15</v>
      </c>
      <c r="I58" s="580">
        <v>0</v>
      </c>
      <c r="J58" s="700">
        <v>0</v>
      </c>
      <c r="K58" s="712">
        <f>C58*H58*I58*J58</f>
        <v>0</v>
      </c>
      <c r="L58" s="700">
        <v>42.15</v>
      </c>
      <c r="M58" s="580">
        <v>0</v>
      </c>
      <c r="N58" s="700">
        <v>0</v>
      </c>
      <c r="O58" s="712">
        <f>C58*L58*M58*N58</f>
        <v>0</v>
      </c>
    </row>
    <row r="59" spans="1:15" ht="25.5" hidden="1">
      <c r="A59" s="700">
        <v>4</v>
      </c>
      <c r="B59" s="701" t="s">
        <v>378</v>
      </c>
      <c r="C59" s="700">
        <v>741.23</v>
      </c>
      <c r="D59" s="714">
        <v>0</v>
      </c>
      <c r="E59" s="714">
        <v>0</v>
      </c>
      <c r="F59" s="714">
        <v>0</v>
      </c>
      <c r="G59" s="714">
        <v>0</v>
      </c>
      <c r="H59" s="700">
        <v>9.82</v>
      </c>
      <c r="I59" s="580">
        <v>0</v>
      </c>
      <c r="J59" s="700">
        <v>0</v>
      </c>
      <c r="K59" s="712">
        <f>C59*H59*I59*J59</f>
        <v>0</v>
      </c>
      <c r="L59" s="700">
        <v>9.82</v>
      </c>
      <c r="M59" s="580">
        <v>0</v>
      </c>
      <c r="N59" s="700">
        <v>0</v>
      </c>
      <c r="O59" s="712">
        <f>C59*L59*M59*N59</f>
        <v>0</v>
      </c>
    </row>
    <row r="60" spans="1:15" ht="25.5" hidden="1">
      <c r="A60" s="700">
        <v>5</v>
      </c>
      <c r="B60" s="701" t="s">
        <v>379</v>
      </c>
      <c r="C60" s="700">
        <v>1972.5</v>
      </c>
      <c r="D60" s="714">
        <v>0</v>
      </c>
      <c r="E60" s="714">
        <v>0</v>
      </c>
      <c r="F60" s="714">
        <v>0</v>
      </c>
      <c r="G60" s="714">
        <v>0</v>
      </c>
      <c r="H60" s="700">
        <v>54.49</v>
      </c>
      <c r="I60" s="580">
        <v>0</v>
      </c>
      <c r="J60" s="700">
        <v>0</v>
      </c>
      <c r="K60" s="712">
        <f>C60*H60*I60*J60</f>
        <v>0</v>
      </c>
      <c r="L60" s="700">
        <v>54.49</v>
      </c>
      <c r="M60" s="580">
        <v>0</v>
      </c>
      <c r="N60" s="700">
        <v>0</v>
      </c>
      <c r="O60" s="712">
        <f>C60*L60*M60*N60</f>
        <v>0</v>
      </c>
    </row>
    <row r="61" spans="1:15">
      <c r="A61" s="701"/>
      <c r="B61" s="710" t="s">
        <v>254</v>
      </c>
      <c r="C61" s="700" t="s">
        <v>25</v>
      </c>
      <c r="D61" s="700" t="s">
        <v>25</v>
      </c>
      <c r="E61" s="700" t="s">
        <v>25</v>
      </c>
      <c r="F61" s="700" t="s">
        <v>25</v>
      </c>
      <c r="G61" s="712">
        <f>SUM(G56:G59)</f>
        <v>413680.26</v>
      </c>
      <c r="H61" s="700" t="s">
        <v>25</v>
      </c>
      <c r="I61" s="700" t="s">
        <v>25</v>
      </c>
      <c r="J61" s="700" t="s">
        <v>25</v>
      </c>
      <c r="K61" s="712">
        <f>SUM(K56:K60)</f>
        <v>307637.88</v>
      </c>
      <c r="L61" s="700" t="s">
        <v>25</v>
      </c>
      <c r="M61" s="700" t="s">
        <v>25</v>
      </c>
      <c r="N61" s="700" t="s">
        <v>25</v>
      </c>
      <c r="O61" s="712">
        <f>SUM(O56:O60)</f>
        <v>309285.86</v>
      </c>
    </row>
    <row r="62" spans="1:15">
      <c r="D62" s="715"/>
    </row>
    <row r="63" spans="1:15">
      <c r="A63" s="537" t="s">
        <v>240</v>
      </c>
      <c r="B63" s="716"/>
      <c r="C63" s="716"/>
      <c r="D63" s="716"/>
      <c r="E63" s="716"/>
      <c r="F63" s="716"/>
      <c r="G63" s="716"/>
      <c r="H63" s="716"/>
      <c r="I63" s="716"/>
      <c r="J63" s="716"/>
      <c r="K63" s="716"/>
      <c r="L63" s="716"/>
      <c r="M63" s="716"/>
      <c r="N63" s="716"/>
      <c r="O63" s="716"/>
    </row>
    <row r="64" spans="1:15">
      <c r="A64" s="527" t="s">
        <v>241</v>
      </c>
      <c r="G64" s="717"/>
    </row>
    <row r="65" spans="1:15">
      <c r="A65" s="527" t="s">
        <v>855</v>
      </c>
      <c r="G65" s="718"/>
      <c r="H65" s="719"/>
    </row>
    <row r="66" spans="1:15">
      <c r="A66" s="528" t="s">
        <v>861</v>
      </c>
    </row>
    <row r="67" spans="1:15">
      <c r="A67" s="1065" t="s">
        <v>176</v>
      </c>
      <c r="B67" s="1065" t="s">
        <v>9</v>
      </c>
      <c r="C67" s="1065" t="s">
        <v>365</v>
      </c>
      <c r="D67" s="1065" t="s">
        <v>559</v>
      </c>
      <c r="E67" s="1065"/>
      <c r="F67" s="1065"/>
      <c r="G67" s="1065"/>
      <c r="H67" s="1065" t="s">
        <v>560</v>
      </c>
      <c r="I67" s="1065"/>
      <c r="J67" s="1065"/>
      <c r="K67" s="1065"/>
      <c r="L67" s="1065" t="s">
        <v>561</v>
      </c>
      <c r="M67" s="1065"/>
      <c r="N67" s="1065"/>
      <c r="O67" s="1065"/>
    </row>
    <row r="68" spans="1:15" ht="25.5">
      <c r="A68" s="1065"/>
      <c r="B68" s="1065"/>
      <c r="C68" s="1065"/>
      <c r="D68" s="700" t="s">
        <v>366</v>
      </c>
      <c r="E68" s="700" t="s">
        <v>367</v>
      </c>
      <c r="F68" s="1065" t="s">
        <v>368</v>
      </c>
      <c r="G68" s="700" t="s">
        <v>300</v>
      </c>
      <c r="H68" s="1065" t="s">
        <v>369</v>
      </c>
      <c r="I68" s="700" t="s">
        <v>370</v>
      </c>
      <c r="J68" s="1065" t="s">
        <v>368</v>
      </c>
      <c r="K68" s="700" t="s">
        <v>300</v>
      </c>
      <c r="L68" s="1065" t="s">
        <v>369</v>
      </c>
      <c r="M68" s="700" t="s">
        <v>370</v>
      </c>
      <c r="N68" s="1065" t="s">
        <v>368</v>
      </c>
      <c r="O68" s="700" t="s">
        <v>300</v>
      </c>
    </row>
    <row r="69" spans="1:15">
      <c r="A69" s="1065"/>
      <c r="B69" s="1065"/>
      <c r="C69" s="1065"/>
      <c r="D69" s="700" t="s">
        <v>371</v>
      </c>
      <c r="E69" s="700" t="s">
        <v>372</v>
      </c>
      <c r="F69" s="1065"/>
      <c r="G69" s="700" t="s">
        <v>301</v>
      </c>
      <c r="H69" s="1065"/>
      <c r="I69" s="700" t="s">
        <v>373</v>
      </c>
      <c r="J69" s="1065"/>
      <c r="K69" s="700" t="s">
        <v>301</v>
      </c>
      <c r="L69" s="1065"/>
      <c r="M69" s="700" t="s">
        <v>373</v>
      </c>
      <c r="N69" s="1065"/>
      <c r="O69" s="700" t="s">
        <v>301</v>
      </c>
    </row>
    <row r="70" spans="1:15" ht="25.5">
      <c r="A70" s="700">
        <v>1</v>
      </c>
      <c r="B70" s="701" t="s">
        <v>374</v>
      </c>
      <c r="C70" s="534">
        <v>925.05</v>
      </c>
      <c r="D70" s="531">
        <v>1.61</v>
      </c>
      <c r="E70" s="580">
        <f>G70/F70/D70/C70</f>
        <v>3</v>
      </c>
      <c r="F70" s="589">
        <v>12</v>
      </c>
      <c r="G70" s="712">
        <v>54112.76</v>
      </c>
      <c r="H70" s="531">
        <v>1.61</v>
      </c>
      <c r="I70" s="580">
        <f>K70/J70/H70/C70</f>
        <v>7</v>
      </c>
      <c r="J70" s="589">
        <v>12</v>
      </c>
      <c r="K70" s="712">
        <f>281282.73-164747.47</f>
        <v>116535.26</v>
      </c>
      <c r="L70" s="531">
        <v>1.61</v>
      </c>
      <c r="M70" s="580">
        <f>O70/N70/L70/C70</f>
        <v>7</v>
      </c>
      <c r="N70" s="589">
        <v>12</v>
      </c>
      <c r="O70" s="712">
        <f>281282.73-164185.45</f>
        <v>117097.28</v>
      </c>
    </row>
    <row r="71" spans="1:15" ht="25.5" hidden="1">
      <c r="A71" s="579">
        <v>2</v>
      </c>
      <c r="B71" s="701" t="s">
        <v>378</v>
      </c>
      <c r="C71" s="700">
        <v>741.23</v>
      </c>
      <c r="D71" s="700">
        <v>9.82</v>
      </c>
      <c r="E71" s="580">
        <v>0</v>
      </c>
      <c r="F71" s="700">
        <v>0</v>
      </c>
      <c r="G71" s="712">
        <v>0</v>
      </c>
      <c r="H71" s="714">
        <v>0</v>
      </c>
      <c r="I71" s="714">
        <v>0</v>
      </c>
      <c r="J71" s="714">
        <v>0</v>
      </c>
      <c r="K71" s="714">
        <v>0</v>
      </c>
      <c r="L71" s="714">
        <v>0</v>
      </c>
      <c r="M71" s="714">
        <v>0</v>
      </c>
      <c r="N71" s="714">
        <v>0</v>
      </c>
      <c r="O71" s="712">
        <f>C71*L71*M71*N71</f>
        <v>0</v>
      </c>
    </row>
    <row r="72" spans="1:15" ht="25.5" hidden="1">
      <c r="A72" s="579">
        <v>3</v>
      </c>
      <c r="B72" s="701" t="s">
        <v>379</v>
      </c>
      <c r="C72" s="700">
        <v>1972.5</v>
      </c>
      <c r="D72" s="714">
        <v>0</v>
      </c>
      <c r="E72" s="714">
        <v>0</v>
      </c>
      <c r="F72" s="714">
        <v>0</v>
      </c>
      <c r="G72" s="714">
        <v>0</v>
      </c>
      <c r="H72" s="700">
        <v>54.49</v>
      </c>
      <c r="I72" s="580">
        <v>1</v>
      </c>
      <c r="J72" s="700">
        <v>2</v>
      </c>
      <c r="K72" s="712">
        <v>0</v>
      </c>
      <c r="L72" s="714">
        <v>0</v>
      </c>
      <c r="M72" s="714">
        <v>0</v>
      </c>
      <c r="N72" s="714">
        <v>0</v>
      </c>
      <c r="O72" s="712">
        <f>C72*L72*M72*N72</f>
        <v>0</v>
      </c>
    </row>
    <row r="73" spans="1:15">
      <c r="A73" s="701"/>
      <c r="B73" s="710" t="s">
        <v>254</v>
      </c>
      <c r="C73" s="700" t="s">
        <v>25</v>
      </c>
      <c r="D73" s="700" t="s">
        <v>25</v>
      </c>
      <c r="E73" s="700" t="s">
        <v>25</v>
      </c>
      <c r="F73" s="700" t="s">
        <v>25</v>
      </c>
      <c r="G73" s="712">
        <f>SUM(G70:G72)</f>
        <v>54112.76</v>
      </c>
      <c r="H73" s="700" t="s">
        <v>25</v>
      </c>
      <c r="I73" s="700" t="s">
        <v>25</v>
      </c>
      <c r="J73" s="700" t="s">
        <v>25</v>
      </c>
      <c r="K73" s="712">
        <f>SUM(K70:K72)</f>
        <v>116535.26</v>
      </c>
      <c r="L73" s="700" t="s">
        <v>25</v>
      </c>
      <c r="M73" s="700" t="s">
        <v>25</v>
      </c>
      <c r="N73" s="700" t="s">
        <v>25</v>
      </c>
      <c r="O73" s="712">
        <f>SUM(O70:O72)</f>
        <v>117097.28</v>
      </c>
    </row>
    <row r="74" spans="1:15">
      <c r="A74" s="722"/>
      <c r="B74" s="723"/>
      <c r="C74" s="724"/>
      <c r="D74" s="724"/>
      <c r="E74" s="724"/>
      <c r="F74" s="724"/>
      <c r="G74" s="725"/>
      <c r="H74" s="724"/>
      <c r="I74" s="724"/>
      <c r="J74" s="724"/>
      <c r="K74" s="725"/>
      <c r="L74" s="724"/>
      <c r="M74" s="724"/>
      <c r="N74" s="724"/>
      <c r="O74" s="725"/>
    </row>
    <row r="75" spans="1:15">
      <c r="A75" s="726" t="s">
        <v>381</v>
      </c>
    </row>
    <row r="77" spans="1:15" s="709" customFormat="1">
      <c r="A77" s="529" t="s">
        <v>235</v>
      </c>
    </row>
    <row r="78" spans="1:15" ht="17.25" customHeight="1">
      <c r="A78" s="527" t="s">
        <v>236</v>
      </c>
    </row>
    <row r="79" spans="1:15">
      <c r="A79" s="527" t="s">
        <v>237</v>
      </c>
    </row>
    <row r="80" spans="1:15">
      <c r="A80" s="528" t="s">
        <v>355</v>
      </c>
    </row>
    <row r="81" spans="1:17">
      <c r="A81" s="1068" t="s">
        <v>176</v>
      </c>
      <c r="B81" s="1068" t="s">
        <v>9</v>
      </c>
      <c r="C81" s="1068" t="s">
        <v>382</v>
      </c>
      <c r="D81" s="1066" t="s">
        <v>559</v>
      </c>
      <c r="E81" s="1069"/>
      <c r="F81" s="1069"/>
      <c r="G81" s="1067"/>
      <c r="H81" s="1066" t="s">
        <v>560</v>
      </c>
      <c r="I81" s="1069"/>
      <c r="J81" s="1069"/>
      <c r="K81" s="1067"/>
      <c r="L81" s="1066" t="s">
        <v>561</v>
      </c>
      <c r="M81" s="1069"/>
      <c r="N81" s="1069"/>
      <c r="O81" s="1067"/>
    </row>
    <row r="82" spans="1:17">
      <c r="A82" s="1125"/>
      <c r="B82" s="1125"/>
      <c r="C82" s="1125"/>
      <c r="D82" s="1068" t="s">
        <v>383</v>
      </c>
      <c r="E82" s="1068" t="s">
        <v>384</v>
      </c>
      <c r="F82" s="1068" t="s">
        <v>385</v>
      </c>
      <c r="G82" s="700" t="s">
        <v>300</v>
      </c>
      <c r="H82" s="1068" t="s">
        <v>383</v>
      </c>
      <c r="I82" s="1068" t="s">
        <v>384</v>
      </c>
      <c r="J82" s="1068" t="s">
        <v>385</v>
      </c>
      <c r="K82" s="700" t="s">
        <v>300</v>
      </c>
      <c r="L82" s="1068" t="s">
        <v>383</v>
      </c>
      <c r="M82" s="1068" t="s">
        <v>384</v>
      </c>
      <c r="N82" s="1068" t="s">
        <v>385</v>
      </c>
      <c r="O82" s="700" t="s">
        <v>300</v>
      </c>
    </row>
    <row r="83" spans="1:17" ht="42.75" customHeight="1">
      <c r="A83" s="1126"/>
      <c r="B83" s="1126"/>
      <c r="C83" s="1126"/>
      <c r="D83" s="1126"/>
      <c r="E83" s="1126"/>
      <c r="F83" s="1126"/>
      <c r="G83" s="700" t="s">
        <v>301</v>
      </c>
      <c r="H83" s="1126"/>
      <c r="I83" s="1126"/>
      <c r="J83" s="1126"/>
      <c r="K83" s="700" t="s">
        <v>301</v>
      </c>
      <c r="L83" s="1126"/>
      <c r="M83" s="1126"/>
      <c r="N83" s="1126"/>
      <c r="O83" s="700" t="s">
        <v>301</v>
      </c>
      <c r="Q83" s="708" t="s">
        <v>386</v>
      </c>
    </row>
    <row r="84" spans="1:17" ht="84" hidden="1" customHeight="1">
      <c r="A84" s="579">
        <v>1</v>
      </c>
      <c r="B84" s="701" t="s">
        <v>387</v>
      </c>
      <c r="C84" s="700" t="s">
        <v>388</v>
      </c>
      <c r="D84" s="534" t="s">
        <v>362</v>
      </c>
      <c r="E84" s="700">
        <v>0</v>
      </c>
      <c r="F84" s="700">
        <v>0</v>
      </c>
      <c r="G84" s="712">
        <v>0</v>
      </c>
      <c r="H84" s="700">
        <v>0</v>
      </c>
      <c r="I84" s="700">
        <v>0</v>
      </c>
      <c r="J84" s="700">
        <v>0</v>
      </c>
      <c r="K84" s="712">
        <f>H84*I84*J84</f>
        <v>0</v>
      </c>
      <c r="L84" s="700">
        <v>0</v>
      </c>
      <c r="M84" s="700">
        <v>0</v>
      </c>
      <c r="N84" s="700">
        <v>0</v>
      </c>
      <c r="O84" s="712">
        <f>L84*M84*N84</f>
        <v>0</v>
      </c>
    </row>
    <row r="85" spans="1:17" ht="25.5" hidden="1">
      <c r="A85" s="579">
        <v>2</v>
      </c>
      <c r="B85" s="701" t="s">
        <v>389</v>
      </c>
      <c r="C85" s="701" t="s">
        <v>390</v>
      </c>
      <c r="D85" s="700">
        <v>1</v>
      </c>
      <c r="E85" s="700">
        <v>0</v>
      </c>
      <c r="F85" s="712" t="e">
        <f>G85/D85/E85</f>
        <v>#DIV/0!</v>
      </c>
      <c r="G85" s="712">
        <v>0</v>
      </c>
      <c r="H85" s="700">
        <v>0</v>
      </c>
      <c r="I85" s="700">
        <v>0</v>
      </c>
      <c r="J85" s="712">
        <v>0</v>
      </c>
      <c r="K85" s="712">
        <v>0</v>
      </c>
      <c r="L85" s="700">
        <v>0</v>
      </c>
      <c r="M85" s="700">
        <v>0</v>
      </c>
      <c r="N85" s="712">
        <v>0</v>
      </c>
      <c r="O85" s="712">
        <f>L85*M85*N85</f>
        <v>0</v>
      </c>
    </row>
    <row r="86" spans="1:17" ht="63.75">
      <c r="A86" s="702">
        <v>1</v>
      </c>
      <c r="B86" s="287" t="s">
        <v>391</v>
      </c>
      <c r="C86" s="702" t="s">
        <v>390</v>
      </c>
      <c r="D86" s="702">
        <v>1</v>
      </c>
      <c r="E86" s="702">
        <v>12</v>
      </c>
      <c r="F86" s="532">
        <f>G86/D86/E86</f>
        <v>1205.8699999999999</v>
      </c>
      <c r="G86" s="289">
        <v>14470.44</v>
      </c>
      <c r="H86" s="702">
        <v>1</v>
      </c>
      <c r="I86" s="702">
        <v>12</v>
      </c>
      <c r="J86" s="609">
        <f>K86/H86/I86</f>
        <v>1205.8699999999999</v>
      </c>
      <c r="K86" s="289">
        <v>14470.44</v>
      </c>
      <c r="L86" s="702">
        <v>1</v>
      </c>
      <c r="M86" s="702">
        <v>12</v>
      </c>
      <c r="N86" s="609">
        <f>O86/L86/M86</f>
        <v>1205.8699999999999</v>
      </c>
      <c r="O86" s="289">
        <v>14470.44</v>
      </c>
    </row>
    <row r="87" spans="1:17" ht="76.5">
      <c r="A87" s="702">
        <v>2</v>
      </c>
      <c r="B87" s="287" t="s">
        <v>392</v>
      </c>
      <c r="C87" s="702" t="s">
        <v>390</v>
      </c>
      <c r="D87" s="702">
        <v>4</v>
      </c>
      <c r="E87" s="702">
        <v>12</v>
      </c>
      <c r="F87" s="532">
        <f>G87/D87/E87</f>
        <v>364.58</v>
      </c>
      <c r="G87" s="289">
        <v>17500</v>
      </c>
      <c r="H87" s="702">
        <v>4</v>
      </c>
      <c r="I87" s="702">
        <v>12</v>
      </c>
      <c r="J87" s="609">
        <f>K87/H87/I87</f>
        <v>525</v>
      </c>
      <c r="K87" s="289">
        <v>25199.88</v>
      </c>
      <c r="L87" s="702">
        <v>4</v>
      </c>
      <c r="M87" s="702">
        <v>12</v>
      </c>
      <c r="N87" s="609">
        <f>O87/L87/M87</f>
        <v>525</v>
      </c>
      <c r="O87" s="289">
        <v>25199.88</v>
      </c>
    </row>
    <row r="88" spans="1:17" ht="51">
      <c r="A88" s="702">
        <v>3</v>
      </c>
      <c r="B88" s="287" t="s">
        <v>862</v>
      </c>
      <c r="C88" s="702" t="s">
        <v>388</v>
      </c>
      <c r="D88" s="702">
        <v>0</v>
      </c>
      <c r="E88" s="702">
        <v>0</v>
      </c>
      <c r="F88" s="532">
        <v>0</v>
      </c>
      <c r="G88" s="289">
        <v>0</v>
      </c>
      <c r="H88" s="702">
        <v>0</v>
      </c>
      <c r="I88" s="702">
        <v>0</v>
      </c>
      <c r="J88" s="609">
        <v>0</v>
      </c>
      <c r="K88" s="289">
        <v>0</v>
      </c>
      <c r="L88" s="702">
        <v>0</v>
      </c>
      <c r="M88" s="702">
        <v>0</v>
      </c>
      <c r="N88" s="609">
        <v>0</v>
      </c>
      <c r="O88" s="289">
        <v>0</v>
      </c>
    </row>
    <row r="89" spans="1:17" ht="25.5">
      <c r="A89" s="702">
        <v>4</v>
      </c>
      <c r="B89" s="287" t="s">
        <v>586</v>
      </c>
      <c r="C89" s="702" t="s">
        <v>388</v>
      </c>
      <c r="D89" s="702">
        <v>0</v>
      </c>
      <c r="E89" s="702">
        <v>0</v>
      </c>
      <c r="F89" s="532">
        <v>0</v>
      </c>
      <c r="G89" s="289">
        <v>0</v>
      </c>
      <c r="H89" s="702">
        <v>0</v>
      </c>
      <c r="I89" s="702">
        <v>0</v>
      </c>
      <c r="J89" s="609">
        <v>0</v>
      </c>
      <c r="K89" s="289">
        <v>0</v>
      </c>
      <c r="L89" s="702">
        <v>0</v>
      </c>
      <c r="M89" s="702">
        <v>0</v>
      </c>
      <c r="N89" s="609">
        <v>0</v>
      </c>
      <c r="O89" s="289">
        <f>L89*M89*N89</f>
        <v>0</v>
      </c>
    </row>
    <row r="90" spans="1:17" ht="76.5">
      <c r="A90" s="702">
        <v>5</v>
      </c>
      <c r="B90" s="287" t="s">
        <v>863</v>
      </c>
      <c r="C90" s="702" t="s">
        <v>390</v>
      </c>
      <c r="D90" s="702">
        <v>2</v>
      </c>
      <c r="E90" s="702">
        <v>9</v>
      </c>
      <c r="F90" s="532">
        <f>G90/E90/D90</f>
        <v>2000</v>
      </c>
      <c r="G90" s="289">
        <v>36000</v>
      </c>
      <c r="H90" s="702">
        <v>2</v>
      </c>
      <c r="I90" s="702">
        <v>9</v>
      </c>
      <c r="J90" s="609">
        <f>K90/I90/H90</f>
        <v>2750</v>
      </c>
      <c r="K90" s="289">
        <v>49500</v>
      </c>
      <c r="L90" s="702">
        <v>2</v>
      </c>
      <c r="M90" s="702">
        <v>9</v>
      </c>
      <c r="N90" s="609">
        <f>O90/M90/L90</f>
        <v>2750</v>
      </c>
      <c r="O90" s="289">
        <v>49500</v>
      </c>
    </row>
    <row r="91" spans="1:17">
      <c r="A91" s="287"/>
      <c r="B91" s="720" t="s">
        <v>254</v>
      </c>
      <c r="C91" s="702" t="s">
        <v>25</v>
      </c>
      <c r="D91" s="702">
        <v>0</v>
      </c>
      <c r="E91" s="702">
        <v>0</v>
      </c>
      <c r="F91" s="702">
        <v>0</v>
      </c>
      <c r="G91" s="289">
        <f>SUM(G84:G90)</f>
        <v>67970.44</v>
      </c>
      <c r="H91" s="702" t="s">
        <v>25</v>
      </c>
      <c r="I91" s="702" t="s">
        <v>25</v>
      </c>
      <c r="J91" s="702" t="s">
        <v>25</v>
      </c>
      <c r="K91" s="289">
        <f>SUM(K84:K90)</f>
        <v>89170.32</v>
      </c>
      <c r="L91" s="702" t="s">
        <v>25</v>
      </c>
      <c r="M91" s="702" t="s">
        <v>25</v>
      </c>
      <c r="N91" s="702" t="s">
        <v>25</v>
      </c>
      <c r="O91" s="289">
        <f>SUM(O84:O90)</f>
        <v>89170.32</v>
      </c>
    </row>
    <row r="93" spans="1:17" s="716" customFormat="1">
      <c r="A93" s="537" t="s">
        <v>240</v>
      </c>
    </row>
    <row r="94" spans="1:17">
      <c r="A94" s="527" t="s">
        <v>241</v>
      </c>
    </row>
    <row r="95" spans="1:17">
      <c r="A95" s="527" t="s">
        <v>855</v>
      </c>
    </row>
    <row r="96" spans="1:17">
      <c r="A96" s="528" t="s">
        <v>355</v>
      </c>
    </row>
    <row r="97" spans="1:15">
      <c r="A97" s="1065" t="s">
        <v>176</v>
      </c>
      <c r="B97" s="1065" t="s">
        <v>9</v>
      </c>
      <c r="C97" s="1065" t="s">
        <v>382</v>
      </c>
      <c r="D97" s="1065" t="s">
        <v>559</v>
      </c>
      <c r="E97" s="1065"/>
      <c r="F97" s="1065"/>
      <c r="G97" s="1065"/>
      <c r="H97" s="1065" t="s">
        <v>560</v>
      </c>
      <c r="I97" s="1065"/>
      <c r="J97" s="1065"/>
      <c r="K97" s="1065"/>
      <c r="L97" s="1065" t="s">
        <v>561</v>
      </c>
      <c r="M97" s="1065"/>
      <c r="N97" s="1065"/>
      <c r="O97" s="1065"/>
    </row>
    <row r="98" spans="1:15">
      <c r="A98" s="1065"/>
      <c r="B98" s="1065"/>
      <c r="C98" s="1065"/>
      <c r="D98" s="1065" t="s">
        <v>383</v>
      </c>
      <c r="E98" s="1065" t="s">
        <v>384</v>
      </c>
      <c r="F98" s="1065" t="s">
        <v>385</v>
      </c>
      <c r="G98" s="700" t="s">
        <v>300</v>
      </c>
      <c r="H98" s="1065" t="s">
        <v>383</v>
      </c>
      <c r="I98" s="1065" t="s">
        <v>384</v>
      </c>
      <c r="J98" s="1065" t="s">
        <v>385</v>
      </c>
      <c r="K98" s="700" t="s">
        <v>300</v>
      </c>
      <c r="L98" s="1065" t="s">
        <v>383</v>
      </c>
      <c r="M98" s="1065" t="s">
        <v>384</v>
      </c>
      <c r="N98" s="1065" t="s">
        <v>385</v>
      </c>
      <c r="O98" s="700" t="s">
        <v>300</v>
      </c>
    </row>
    <row r="99" spans="1:15">
      <c r="A99" s="1065"/>
      <c r="B99" s="1065"/>
      <c r="C99" s="1065"/>
      <c r="D99" s="1065"/>
      <c r="E99" s="1065"/>
      <c r="F99" s="1065"/>
      <c r="G99" s="700" t="s">
        <v>301</v>
      </c>
      <c r="H99" s="1065"/>
      <c r="I99" s="1065"/>
      <c r="J99" s="1065"/>
      <c r="K99" s="700" t="s">
        <v>301</v>
      </c>
      <c r="L99" s="1065"/>
      <c r="M99" s="1065"/>
      <c r="N99" s="1065"/>
      <c r="O99" s="700" t="s">
        <v>301</v>
      </c>
    </row>
    <row r="100" spans="1:15">
      <c r="A100" s="700">
        <v>1</v>
      </c>
      <c r="B100" s="701" t="s">
        <v>396</v>
      </c>
      <c r="C100" s="700" t="s">
        <v>390</v>
      </c>
      <c r="D100" s="700">
        <v>2</v>
      </c>
      <c r="E100" s="700">
        <v>12</v>
      </c>
      <c r="F100" s="712">
        <f>G100/D100/E100</f>
        <v>2313.33</v>
      </c>
      <c r="G100" s="712">
        <v>55520</v>
      </c>
      <c r="H100" s="700">
        <v>0</v>
      </c>
      <c r="I100" s="700">
        <v>0</v>
      </c>
      <c r="J100" s="712">
        <v>0</v>
      </c>
      <c r="K100" s="712">
        <f>H100*I100*J100</f>
        <v>0</v>
      </c>
      <c r="L100" s="700">
        <v>0</v>
      </c>
      <c r="M100" s="700">
        <v>0</v>
      </c>
      <c r="N100" s="712">
        <v>0</v>
      </c>
      <c r="O100" s="712">
        <f>L100*M100*N100</f>
        <v>0</v>
      </c>
    </row>
    <row r="101" spans="1:15" ht="25.5">
      <c r="A101" s="700">
        <v>2</v>
      </c>
      <c r="B101" s="701" t="s">
        <v>864</v>
      </c>
      <c r="C101" s="700" t="s">
        <v>397</v>
      </c>
      <c r="D101" s="700">
        <v>0</v>
      </c>
      <c r="E101" s="700">
        <v>0</v>
      </c>
      <c r="F101" s="712">
        <v>0</v>
      </c>
      <c r="G101" s="712">
        <v>0</v>
      </c>
      <c r="H101" s="700">
        <v>0</v>
      </c>
      <c r="I101" s="700">
        <v>0</v>
      </c>
      <c r="J101" s="712">
        <v>0</v>
      </c>
      <c r="K101" s="712">
        <v>0</v>
      </c>
      <c r="L101" s="700">
        <v>0</v>
      </c>
      <c r="M101" s="700">
        <v>0</v>
      </c>
      <c r="N101" s="712">
        <v>0</v>
      </c>
      <c r="O101" s="712">
        <v>0</v>
      </c>
    </row>
    <row r="102" spans="1:15">
      <c r="A102" s="701"/>
      <c r="B102" s="710" t="s">
        <v>254</v>
      </c>
      <c r="C102" s="700" t="s">
        <v>25</v>
      </c>
      <c r="D102" s="700" t="s">
        <v>25</v>
      </c>
      <c r="E102" s="700" t="s">
        <v>25</v>
      </c>
      <c r="F102" s="700" t="s">
        <v>25</v>
      </c>
      <c r="G102" s="712">
        <f>SUM(G100:G101)</f>
        <v>55520</v>
      </c>
      <c r="H102" s="700" t="s">
        <v>25</v>
      </c>
      <c r="I102" s="700" t="s">
        <v>25</v>
      </c>
      <c r="J102" s="700" t="s">
        <v>25</v>
      </c>
      <c r="K102" s="712">
        <f>K100</f>
        <v>0</v>
      </c>
      <c r="L102" s="700" t="s">
        <v>25</v>
      </c>
      <c r="M102" s="700" t="s">
        <v>25</v>
      </c>
      <c r="N102" s="700" t="s">
        <v>25</v>
      </c>
      <c r="O102" s="712">
        <f>O100</f>
        <v>0</v>
      </c>
    </row>
    <row r="105" spans="1:15">
      <c r="A105" s="529" t="s">
        <v>235</v>
      </c>
      <c r="B105" s="709"/>
      <c r="C105" s="709"/>
      <c r="D105" s="709"/>
      <c r="E105" s="709"/>
      <c r="F105" s="709"/>
      <c r="G105" s="709"/>
      <c r="H105" s="709"/>
      <c r="I105" s="709"/>
      <c r="J105" s="709"/>
      <c r="K105" s="709"/>
      <c r="L105" s="709"/>
      <c r="M105" s="709"/>
      <c r="N105" s="709"/>
      <c r="O105" s="709"/>
    </row>
    <row r="106" spans="1:15">
      <c r="A106" s="527" t="s">
        <v>236</v>
      </c>
    </row>
    <row r="107" spans="1:15">
      <c r="A107" s="527" t="s">
        <v>856</v>
      </c>
    </row>
    <row r="108" spans="1:15">
      <c r="A108" s="528" t="s">
        <v>865</v>
      </c>
    </row>
    <row r="109" spans="1:15">
      <c r="A109" s="1068" t="s">
        <v>176</v>
      </c>
      <c r="B109" s="1068" t="s">
        <v>9</v>
      </c>
      <c r="C109" s="1068" t="s">
        <v>382</v>
      </c>
      <c r="D109" s="1066" t="s">
        <v>559</v>
      </c>
      <c r="E109" s="1069"/>
      <c r="F109" s="1069"/>
      <c r="G109" s="1067"/>
      <c r="H109" s="1066" t="s">
        <v>560</v>
      </c>
      <c r="I109" s="1069"/>
      <c r="J109" s="1069"/>
      <c r="K109" s="1067"/>
      <c r="L109" s="1066" t="s">
        <v>561</v>
      </c>
      <c r="M109" s="1069"/>
      <c r="N109" s="1069"/>
      <c r="O109" s="1067"/>
    </row>
    <row r="110" spans="1:15">
      <c r="A110" s="1125"/>
      <c r="B110" s="1125"/>
      <c r="C110" s="1125"/>
      <c r="D110" s="1068" t="s">
        <v>383</v>
      </c>
      <c r="E110" s="1068" t="s">
        <v>384</v>
      </c>
      <c r="F110" s="1068" t="s">
        <v>385</v>
      </c>
      <c r="G110" s="700" t="s">
        <v>300</v>
      </c>
      <c r="H110" s="1068" t="s">
        <v>383</v>
      </c>
      <c r="I110" s="1068" t="s">
        <v>384</v>
      </c>
      <c r="J110" s="1068" t="s">
        <v>385</v>
      </c>
      <c r="K110" s="700" t="s">
        <v>300</v>
      </c>
      <c r="L110" s="1068" t="s">
        <v>383</v>
      </c>
      <c r="M110" s="1068" t="s">
        <v>384</v>
      </c>
      <c r="N110" s="1068" t="s">
        <v>385</v>
      </c>
      <c r="O110" s="700" t="s">
        <v>300</v>
      </c>
    </row>
    <row r="111" spans="1:15">
      <c r="A111" s="1126"/>
      <c r="B111" s="1126"/>
      <c r="C111" s="1126"/>
      <c r="D111" s="1126"/>
      <c r="E111" s="1126"/>
      <c r="F111" s="1126"/>
      <c r="G111" s="700" t="s">
        <v>301</v>
      </c>
      <c r="H111" s="1126"/>
      <c r="I111" s="1126"/>
      <c r="J111" s="1126"/>
      <c r="K111" s="700" t="s">
        <v>301</v>
      </c>
      <c r="L111" s="1126"/>
      <c r="M111" s="1126"/>
      <c r="N111" s="1126"/>
      <c r="O111" s="700" t="s">
        <v>301</v>
      </c>
    </row>
    <row r="112" spans="1:15" ht="38.25">
      <c r="A112" s="702">
        <v>1</v>
      </c>
      <c r="B112" s="287" t="s">
        <v>867</v>
      </c>
      <c r="C112" s="702" t="s">
        <v>388</v>
      </c>
      <c r="D112" s="702">
        <v>2</v>
      </c>
      <c r="E112" s="702">
        <v>1</v>
      </c>
      <c r="F112" s="532">
        <f>G112/D112/E112</f>
        <v>2415</v>
      </c>
      <c r="G112" s="289">
        <v>4830</v>
      </c>
      <c r="H112" s="702">
        <v>0</v>
      </c>
      <c r="I112" s="702">
        <v>0</v>
      </c>
      <c r="J112" s="609">
        <v>0</v>
      </c>
      <c r="K112" s="289">
        <f t="shared" ref="K112:K113" si="0">H112*I112*J112</f>
        <v>0</v>
      </c>
      <c r="L112" s="702">
        <v>0</v>
      </c>
      <c r="M112" s="702">
        <v>0</v>
      </c>
      <c r="N112" s="609">
        <v>0</v>
      </c>
      <c r="O112" s="289">
        <f>L112*M112*N112</f>
        <v>0</v>
      </c>
    </row>
    <row r="113" spans="1:15" ht="25.5">
      <c r="A113" s="733">
        <v>2</v>
      </c>
      <c r="B113" s="287" t="s">
        <v>586</v>
      </c>
      <c r="C113" s="733" t="s">
        <v>388</v>
      </c>
      <c r="D113" s="733">
        <v>0</v>
      </c>
      <c r="E113" s="733">
        <v>0</v>
      </c>
      <c r="F113" s="532">
        <v>0</v>
      </c>
      <c r="G113" s="289">
        <f>D113*E113*F113</f>
        <v>0</v>
      </c>
      <c r="H113" s="733">
        <v>0</v>
      </c>
      <c r="I113" s="733">
        <v>0</v>
      </c>
      <c r="J113" s="609">
        <v>0</v>
      </c>
      <c r="K113" s="289">
        <f t="shared" si="0"/>
        <v>0</v>
      </c>
      <c r="L113" s="733">
        <v>6</v>
      </c>
      <c r="M113" s="733">
        <v>1</v>
      </c>
      <c r="N113" s="609">
        <v>124.67</v>
      </c>
      <c r="O113" s="289">
        <f>L113*M113*N113</f>
        <v>748.02</v>
      </c>
    </row>
    <row r="114" spans="1:15">
      <c r="A114" s="287"/>
      <c r="B114" s="720" t="s">
        <v>254</v>
      </c>
      <c r="C114" s="702" t="s">
        <v>25</v>
      </c>
      <c r="D114" s="702">
        <v>0</v>
      </c>
      <c r="E114" s="702">
        <v>0</v>
      </c>
      <c r="F114" s="702">
        <v>0</v>
      </c>
      <c r="G114" s="289">
        <f>SUM(G112:G113)</f>
        <v>4830</v>
      </c>
      <c r="H114" s="702" t="s">
        <v>25</v>
      </c>
      <c r="I114" s="702" t="s">
        <v>25</v>
      </c>
      <c r="J114" s="702" t="s">
        <v>25</v>
      </c>
      <c r="K114" s="289">
        <f>SUM(K112:K113)</f>
        <v>0</v>
      </c>
      <c r="L114" s="702" t="s">
        <v>25</v>
      </c>
      <c r="M114" s="702" t="s">
        <v>25</v>
      </c>
      <c r="N114" s="702" t="s">
        <v>25</v>
      </c>
      <c r="O114" s="289">
        <f>SUM(O112:O113)</f>
        <v>748.02</v>
      </c>
    </row>
    <row r="117" spans="1:15">
      <c r="A117" s="537" t="s">
        <v>240</v>
      </c>
      <c r="B117" s="716"/>
      <c r="C117" s="716"/>
      <c r="D117" s="716"/>
      <c r="E117" s="716"/>
      <c r="F117" s="716"/>
      <c r="G117" s="716"/>
      <c r="H117" s="716"/>
      <c r="I117" s="716"/>
      <c r="J117" s="716"/>
      <c r="K117" s="716"/>
      <c r="L117" s="716"/>
      <c r="M117" s="716"/>
      <c r="N117" s="716"/>
      <c r="O117" s="716"/>
    </row>
    <row r="118" spans="1:15">
      <c r="A118" s="527" t="s">
        <v>241</v>
      </c>
    </row>
    <row r="119" spans="1:15">
      <c r="A119" s="527" t="s">
        <v>855</v>
      </c>
    </row>
    <row r="120" spans="1:15">
      <c r="A120" s="528" t="s">
        <v>865</v>
      </c>
    </row>
    <row r="121" spans="1:15">
      <c r="A121" s="1065" t="s">
        <v>176</v>
      </c>
      <c r="B121" s="1065" t="s">
        <v>9</v>
      </c>
      <c r="C121" s="1065" t="s">
        <v>382</v>
      </c>
      <c r="D121" s="1065" t="s">
        <v>559</v>
      </c>
      <c r="E121" s="1065"/>
      <c r="F121" s="1065"/>
      <c r="G121" s="1065"/>
      <c r="H121" s="1065" t="s">
        <v>560</v>
      </c>
      <c r="I121" s="1065"/>
      <c r="J121" s="1065"/>
      <c r="K121" s="1065"/>
      <c r="L121" s="1065" t="s">
        <v>561</v>
      </c>
      <c r="M121" s="1065"/>
      <c r="N121" s="1065"/>
      <c r="O121" s="1065"/>
    </row>
    <row r="122" spans="1:15">
      <c r="A122" s="1065"/>
      <c r="B122" s="1065"/>
      <c r="C122" s="1065"/>
      <c r="D122" s="1065" t="s">
        <v>383</v>
      </c>
      <c r="E122" s="1065" t="s">
        <v>384</v>
      </c>
      <c r="F122" s="1065" t="s">
        <v>385</v>
      </c>
      <c r="G122" s="700" t="s">
        <v>300</v>
      </c>
      <c r="H122" s="1065" t="s">
        <v>383</v>
      </c>
      <c r="I122" s="1065" t="s">
        <v>384</v>
      </c>
      <c r="J122" s="1065" t="s">
        <v>385</v>
      </c>
      <c r="K122" s="700" t="s">
        <v>300</v>
      </c>
      <c r="L122" s="1065" t="s">
        <v>383</v>
      </c>
      <c r="M122" s="1065" t="s">
        <v>384</v>
      </c>
      <c r="N122" s="1065" t="s">
        <v>385</v>
      </c>
      <c r="O122" s="700" t="s">
        <v>300</v>
      </c>
    </row>
    <row r="123" spans="1:15">
      <c r="A123" s="1065"/>
      <c r="B123" s="1065"/>
      <c r="C123" s="1065"/>
      <c r="D123" s="1065"/>
      <c r="E123" s="1065"/>
      <c r="F123" s="1065"/>
      <c r="G123" s="700" t="s">
        <v>301</v>
      </c>
      <c r="H123" s="1065"/>
      <c r="I123" s="1065"/>
      <c r="J123" s="1065"/>
      <c r="K123" s="700" t="s">
        <v>301</v>
      </c>
      <c r="L123" s="1065"/>
      <c r="M123" s="1065"/>
      <c r="N123" s="1065"/>
      <c r="O123" s="700" t="s">
        <v>301</v>
      </c>
    </row>
    <row r="124" spans="1:15" ht="25.5">
      <c r="A124" s="700">
        <v>1</v>
      </c>
      <c r="B124" s="701" t="s">
        <v>866</v>
      </c>
      <c r="C124" s="700" t="s">
        <v>397</v>
      </c>
      <c r="D124" s="700">
        <v>1</v>
      </c>
      <c r="E124" s="700">
        <v>1</v>
      </c>
      <c r="F124" s="712">
        <v>4480</v>
      </c>
      <c r="G124" s="712">
        <v>4480</v>
      </c>
      <c r="H124" s="700">
        <v>0</v>
      </c>
      <c r="I124" s="700">
        <v>0</v>
      </c>
      <c r="J124" s="712">
        <v>0</v>
      </c>
      <c r="K124" s="712">
        <v>0</v>
      </c>
      <c r="L124" s="700">
        <v>0</v>
      </c>
      <c r="M124" s="700">
        <v>0</v>
      </c>
      <c r="N124" s="712">
        <v>0</v>
      </c>
      <c r="O124" s="712">
        <v>0</v>
      </c>
    </row>
    <row r="125" spans="1:15">
      <c r="A125" s="701"/>
      <c r="B125" s="710" t="s">
        <v>254</v>
      </c>
      <c r="C125" s="700" t="s">
        <v>25</v>
      </c>
      <c r="D125" s="700" t="s">
        <v>25</v>
      </c>
      <c r="E125" s="700" t="s">
        <v>25</v>
      </c>
      <c r="F125" s="700" t="s">
        <v>25</v>
      </c>
      <c r="G125" s="712">
        <f>SUM(G124:G124)</f>
        <v>4480</v>
      </c>
      <c r="H125" s="700" t="s">
        <v>25</v>
      </c>
      <c r="I125" s="700" t="s">
        <v>25</v>
      </c>
      <c r="J125" s="700" t="s">
        <v>25</v>
      </c>
      <c r="K125" s="712">
        <f>K124</f>
        <v>0</v>
      </c>
      <c r="L125" s="700" t="s">
        <v>25</v>
      </c>
      <c r="M125" s="700" t="s">
        <v>25</v>
      </c>
      <c r="N125" s="700" t="s">
        <v>25</v>
      </c>
      <c r="O125" s="712">
        <f>O124</f>
        <v>0</v>
      </c>
    </row>
    <row r="127" spans="1:15">
      <c r="G127" s="719"/>
      <c r="H127" s="719"/>
      <c r="I127" s="719"/>
      <c r="J127" s="719"/>
      <c r="K127" s="719"/>
      <c r="L127" s="719"/>
      <c r="M127" s="719"/>
      <c r="N127" s="719"/>
      <c r="O127" s="719"/>
    </row>
    <row r="129" spans="1:15">
      <c r="B129" s="708" t="s">
        <v>238</v>
      </c>
    </row>
    <row r="130" spans="1:15">
      <c r="D130" s="708">
        <v>2022</v>
      </c>
      <c r="E130" s="708">
        <v>2023</v>
      </c>
      <c r="F130" s="708">
        <v>2024</v>
      </c>
    </row>
    <row r="131" spans="1:15">
      <c r="A131" s="1133">
        <v>2</v>
      </c>
      <c r="B131" s="708" t="s">
        <v>857</v>
      </c>
      <c r="C131" s="708">
        <v>225</v>
      </c>
      <c r="D131" s="719">
        <f>G35+G102</f>
        <v>55520</v>
      </c>
      <c r="E131" s="719">
        <f>K47+K102</f>
        <v>0</v>
      </c>
      <c r="F131" s="719">
        <f>O47+O102</f>
        <v>0</v>
      </c>
      <c r="G131" s="719"/>
      <c r="H131" s="719"/>
      <c r="I131" s="719"/>
      <c r="J131" s="719"/>
      <c r="K131" s="719"/>
      <c r="L131" s="719"/>
      <c r="M131" s="719"/>
      <c r="N131" s="719"/>
      <c r="O131" s="719"/>
    </row>
    <row r="132" spans="1:15">
      <c r="A132" s="1133"/>
      <c r="B132" s="708" t="s">
        <v>858</v>
      </c>
      <c r="C132" s="708">
        <v>225</v>
      </c>
      <c r="D132" s="717">
        <f>G73</f>
        <v>54112.76</v>
      </c>
      <c r="E132" s="717">
        <f>K73</f>
        <v>116535.26</v>
      </c>
      <c r="F132" s="717">
        <f>O73</f>
        <v>117097.28</v>
      </c>
      <c r="G132" s="708" t="s">
        <v>882</v>
      </c>
    </row>
    <row r="133" spans="1:15">
      <c r="A133" s="1133"/>
      <c r="B133" s="708" t="s">
        <v>859</v>
      </c>
      <c r="C133" s="708">
        <v>225</v>
      </c>
      <c r="D133" s="717">
        <f>G125</f>
        <v>4480</v>
      </c>
      <c r="E133" s="717">
        <f>K125</f>
        <v>0</v>
      </c>
      <c r="F133" s="717">
        <f>O125</f>
        <v>0</v>
      </c>
      <c r="G133" s="708" t="s">
        <v>883</v>
      </c>
    </row>
    <row r="134" spans="1:15">
      <c r="A134" s="721"/>
      <c r="D134" s="719">
        <f>D131+D132+D133</f>
        <v>114112.76</v>
      </c>
      <c r="E134" s="719">
        <f t="shared" ref="E134:F134" si="1">E131+E132+E133</f>
        <v>116535.26</v>
      </c>
      <c r="F134" s="719">
        <f t="shared" si="1"/>
        <v>117097.28</v>
      </c>
    </row>
    <row r="135" spans="1:15">
      <c r="A135" s="721"/>
      <c r="D135" s="719">
        <v>114112.76</v>
      </c>
      <c r="E135" s="719">
        <v>116535.26</v>
      </c>
      <c r="F135" s="719">
        <v>117097.28</v>
      </c>
    </row>
    <row r="136" spans="1:15">
      <c r="A136" s="721"/>
      <c r="D136" s="719">
        <f>D134-D135</f>
        <v>0</v>
      </c>
      <c r="E136" s="719">
        <f t="shared" ref="E136:F136" si="2">E134-E135</f>
        <v>0</v>
      </c>
      <c r="F136" s="719">
        <f t="shared" si="2"/>
        <v>0</v>
      </c>
    </row>
    <row r="137" spans="1:15">
      <c r="A137" s="721"/>
      <c r="D137" s="719"/>
      <c r="E137" s="719"/>
      <c r="F137" s="719"/>
    </row>
    <row r="138" spans="1:15">
      <c r="A138" s="721"/>
    </row>
    <row r="139" spans="1:15">
      <c r="A139" s="1133">
        <v>4</v>
      </c>
      <c r="B139" s="708" t="s">
        <v>857</v>
      </c>
      <c r="C139" s="708">
        <v>225</v>
      </c>
      <c r="D139" s="719">
        <f>G35+G91</f>
        <v>67970.44</v>
      </c>
      <c r="E139" s="719">
        <f>K35+K91</f>
        <v>89170.32</v>
      </c>
      <c r="F139" s="719">
        <f>O35+O91</f>
        <v>89170.32</v>
      </c>
    </row>
    <row r="140" spans="1:15">
      <c r="A140" s="1133"/>
      <c r="B140" s="708" t="s">
        <v>858</v>
      </c>
      <c r="C140" s="708">
        <v>225</v>
      </c>
      <c r="D140" s="719">
        <f>G61</f>
        <v>413680.26</v>
      </c>
      <c r="E140" s="719">
        <f>K61</f>
        <v>307637.88</v>
      </c>
      <c r="F140" s="719">
        <f>O61</f>
        <v>309285.86</v>
      </c>
      <c r="G140" s="708" t="s">
        <v>882</v>
      </c>
    </row>
    <row r="141" spans="1:15">
      <c r="A141" s="1133"/>
      <c r="B141" s="708" t="s">
        <v>859</v>
      </c>
      <c r="C141" s="708">
        <v>225</v>
      </c>
      <c r="D141" s="719">
        <f>G114</f>
        <v>4830</v>
      </c>
      <c r="E141" s="719">
        <f>K114</f>
        <v>0</v>
      </c>
      <c r="F141" s="719">
        <f>O114</f>
        <v>748.02</v>
      </c>
      <c r="G141" s="708" t="s">
        <v>883</v>
      </c>
    </row>
    <row r="142" spans="1:15">
      <c r="A142" s="721"/>
      <c r="D142" s="719">
        <f>D139+D140+D141</f>
        <v>486480.7</v>
      </c>
      <c r="E142" s="719">
        <f t="shared" ref="E142:F142" si="3">E139+E140+E141</f>
        <v>396808.2</v>
      </c>
      <c r="F142" s="719">
        <f t="shared" si="3"/>
        <v>399204.2</v>
      </c>
    </row>
    <row r="143" spans="1:15">
      <c r="A143" s="721"/>
      <c r="D143" s="719">
        <v>486480.7</v>
      </c>
      <c r="E143" s="719">
        <v>396808.2</v>
      </c>
      <c r="F143" s="719">
        <v>399204.2</v>
      </c>
    </row>
    <row r="144" spans="1:15">
      <c r="A144" s="721"/>
      <c r="D144" s="719">
        <f>D142-D143</f>
        <v>0</v>
      </c>
      <c r="E144" s="719">
        <f t="shared" ref="E144:F144" si="4">E142-E143</f>
        <v>0</v>
      </c>
      <c r="F144" s="719">
        <f t="shared" si="4"/>
        <v>0</v>
      </c>
    </row>
    <row r="145" spans="1:6">
      <c r="A145" s="721"/>
      <c r="D145" s="719"/>
      <c r="E145" s="719"/>
      <c r="F145" s="719"/>
    </row>
    <row r="146" spans="1:6">
      <c r="E146" s="719"/>
      <c r="F146" s="719"/>
    </row>
    <row r="320" spans="6:7">
      <c r="F320" s="719"/>
      <c r="G320" s="719"/>
    </row>
  </sheetData>
  <mergeCells count="135">
    <mergeCell ref="J3:J4"/>
    <mergeCell ref="K3:K4"/>
    <mergeCell ref="L3:L4"/>
    <mergeCell ref="N3:N4"/>
    <mergeCell ref="A14:A16"/>
    <mergeCell ref="B14:B16"/>
    <mergeCell ref="C14:F14"/>
    <mergeCell ref="G14:J14"/>
    <mergeCell ref="K14:N14"/>
    <mergeCell ref="C15:C16"/>
    <mergeCell ref="A2:A4"/>
    <mergeCell ref="B2:B4"/>
    <mergeCell ref="C2:F2"/>
    <mergeCell ref="G2:J2"/>
    <mergeCell ref="K2:N2"/>
    <mergeCell ref="C3:C4"/>
    <mergeCell ref="D3:D4"/>
    <mergeCell ref="F3:F4"/>
    <mergeCell ref="G3:G4"/>
    <mergeCell ref="H3:H4"/>
    <mergeCell ref="K15:K16"/>
    <mergeCell ref="M15:M16"/>
    <mergeCell ref="N15:N16"/>
    <mergeCell ref="A27:A29"/>
    <mergeCell ref="B27:B29"/>
    <mergeCell ref="C27:C29"/>
    <mergeCell ref="D27:G27"/>
    <mergeCell ref="H27:K27"/>
    <mergeCell ref="L27:O27"/>
    <mergeCell ref="F28:F29"/>
    <mergeCell ref="D15:D16"/>
    <mergeCell ref="E15:E16"/>
    <mergeCell ref="F15:F16"/>
    <mergeCell ref="G15:G16"/>
    <mergeCell ref="I15:I16"/>
    <mergeCell ref="J15:J16"/>
    <mergeCell ref="H28:H29"/>
    <mergeCell ref="J28:J29"/>
    <mergeCell ref="L28:L29"/>
    <mergeCell ref="N28:N29"/>
    <mergeCell ref="A41:A43"/>
    <mergeCell ref="B41:B43"/>
    <mergeCell ref="C41:C43"/>
    <mergeCell ref="D41:G41"/>
    <mergeCell ref="H41:K41"/>
    <mergeCell ref="L41:O41"/>
    <mergeCell ref="F42:F43"/>
    <mergeCell ref="H42:H43"/>
    <mergeCell ref="J42:J43"/>
    <mergeCell ref="L42:L43"/>
    <mergeCell ref="N42:N43"/>
    <mergeCell ref="B81:B83"/>
    <mergeCell ref="C81:C83"/>
    <mergeCell ref="D81:G81"/>
    <mergeCell ref="H81:K81"/>
    <mergeCell ref="L81:O81"/>
    <mergeCell ref="D82:D83"/>
    <mergeCell ref="E82:E83"/>
    <mergeCell ref="F82:F83"/>
    <mergeCell ref="H82:H83"/>
    <mergeCell ref="I82:I83"/>
    <mergeCell ref="J82:J83"/>
    <mergeCell ref="L82:L83"/>
    <mergeCell ref="M82:M83"/>
    <mergeCell ref="N82:N83"/>
    <mergeCell ref="L98:L99"/>
    <mergeCell ref="M98:M99"/>
    <mergeCell ref="N98:N99"/>
    <mergeCell ref="A131:A133"/>
    <mergeCell ref="A109:A111"/>
    <mergeCell ref="B109:B111"/>
    <mergeCell ref="C109:C111"/>
    <mergeCell ref="D109:G109"/>
    <mergeCell ref="A97:A99"/>
    <mergeCell ref="B97:B99"/>
    <mergeCell ref="C97:C99"/>
    <mergeCell ref="D97:G97"/>
    <mergeCell ref="H97:K97"/>
    <mergeCell ref="L97:O97"/>
    <mergeCell ref="D98:D99"/>
    <mergeCell ref="E98:E99"/>
    <mergeCell ref="F98:F99"/>
    <mergeCell ref="H98:H99"/>
    <mergeCell ref="L109:O109"/>
    <mergeCell ref="L110:L111"/>
    <mergeCell ref="M110:M111"/>
    <mergeCell ref="L122:L123"/>
    <mergeCell ref="M122:M123"/>
    <mergeCell ref="N122:N123"/>
    <mergeCell ref="A139:A141"/>
    <mergeCell ref="A53:A55"/>
    <mergeCell ref="B53:B55"/>
    <mergeCell ref="C53:C55"/>
    <mergeCell ref="D53:G53"/>
    <mergeCell ref="H53:K53"/>
    <mergeCell ref="A67:A69"/>
    <mergeCell ref="B67:B69"/>
    <mergeCell ref="C67:C69"/>
    <mergeCell ref="D67:G67"/>
    <mergeCell ref="I98:I99"/>
    <mergeCell ref="J98:J99"/>
    <mergeCell ref="H67:K67"/>
    <mergeCell ref="H109:K109"/>
    <mergeCell ref="D110:D111"/>
    <mergeCell ref="E110:E111"/>
    <mergeCell ref="F110:F111"/>
    <mergeCell ref="H110:H111"/>
    <mergeCell ref="I110:I111"/>
    <mergeCell ref="J110:J111"/>
    <mergeCell ref="H122:H123"/>
    <mergeCell ref="I122:I123"/>
    <mergeCell ref="J122:J123"/>
    <mergeCell ref="A81:A83"/>
    <mergeCell ref="L67:O67"/>
    <mergeCell ref="F68:F69"/>
    <mergeCell ref="H68:H69"/>
    <mergeCell ref="J68:J69"/>
    <mergeCell ref="L68:L69"/>
    <mergeCell ref="N68:N69"/>
    <mergeCell ref="L53:O53"/>
    <mergeCell ref="F54:F55"/>
    <mergeCell ref="H54:H55"/>
    <mergeCell ref="J54:J55"/>
    <mergeCell ref="L54:L55"/>
    <mergeCell ref="N54:N55"/>
    <mergeCell ref="N110:N111"/>
    <mergeCell ref="A121:A123"/>
    <mergeCell ref="B121:B123"/>
    <mergeCell ref="C121:C123"/>
    <mergeCell ref="D121:G121"/>
    <mergeCell ref="H121:K121"/>
    <mergeCell ref="L121:O121"/>
    <mergeCell ref="D122:D123"/>
    <mergeCell ref="E122:E123"/>
    <mergeCell ref="F122:F123"/>
  </mergeCells>
  <pageMargins left="1.1811023622047245" right="0.39370078740157483" top="0.78740157480314965" bottom="0.78740157480314965" header="0.31496062992125984" footer="0.31496062992125984"/>
  <pageSetup paperSize="9" scale="41" orientation="portrait" horizontalDpi="4294967295" verticalDpi="4294967295" r:id="rId1"/>
  <rowBreaks count="2" manualBreakCount="2">
    <brk id="73" max="14" man="1"/>
    <brk id="102" max="14"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208"/>
  <sheetViews>
    <sheetView view="pageBreakPreview" topLeftCell="B1" zoomScale="70" zoomScaleNormal="85" zoomScaleSheetLayoutView="70" workbookViewId="0">
      <selection activeCell="J187" sqref="J187"/>
    </sheetView>
  </sheetViews>
  <sheetFormatPr defaultColWidth="9.140625" defaultRowHeight="15"/>
  <cols>
    <col min="1" max="1" width="0" style="374" hidden="1" customWidth="1"/>
    <col min="2" max="2" width="9.28515625" style="374" customWidth="1"/>
    <col min="3" max="3" width="37.42578125" style="374" customWidth="1"/>
    <col min="4" max="4" width="12.42578125" style="374" bestFit="1" customWidth="1"/>
    <col min="5" max="5" width="15" style="374" customWidth="1"/>
    <col min="6" max="6" width="18.42578125" style="374" customWidth="1"/>
    <col min="7" max="7" width="15.85546875" style="374" bestFit="1" customWidth="1"/>
    <col min="8" max="8" width="15" style="374" bestFit="1" customWidth="1"/>
    <col min="9" max="9" width="17.28515625" style="374" customWidth="1"/>
    <col min="10" max="10" width="14" style="374" bestFit="1" customWidth="1"/>
    <col min="11" max="11" width="14" style="374" customWidth="1"/>
    <col min="12" max="12" width="17.5703125" style="374" customWidth="1"/>
    <col min="13" max="13" width="14.85546875" style="374" bestFit="1" customWidth="1"/>
    <col min="14" max="14" width="10.7109375" style="374" bestFit="1" customWidth="1"/>
    <col min="15" max="15" width="16" style="374" customWidth="1"/>
    <col min="16" max="16" width="14.7109375" style="374" bestFit="1" customWidth="1"/>
    <col min="17" max="17" width="5" style="374" customWidth="1"/>
    <col min="18" max="18" width="27.42578125" style="374" customWidth="1"/>
    <col min="19" max="19" width="14.42578125" style="374" customWidth="1"/>
    <col min="20" max="20" width="9.140625" style="374"/>
    <col min="21" max="29" width="14.7109375" style="374" customWidth="1"/>
    <col min="30" max="16384" width="9.140625" style="374"/>
  </cols>
  <sheetData>
    <row r="1" spans="2:15" ht="15.75">
      <c r="B1" s="586" t="s">
        <v>408</v>
      </c>
    </row>
    <row r="3" spans="2:15" ht="15.75">
      <c r="B3" s="827" t="s">
        <v>409</v>
      </c>
    </row>
    <row r="5" spans="2:15" s="539" customFormat="1">
      <c r="B5" s="539" t="s">
        <v>235</v>
      </c>
      <c r="C5" s="539" t="s">
        <v>479</v>
      </c>
    </row>
    <row r="6" spans="2:15">
      <c r="B6" s="374" t="s">
        <v>236</v>
      </c>
    </row>
    <row r="7" spans="2:15">
      <c r="B7" s="374" t="s">
        <v>856</v>
      </c>
    </row>
    <row r="8" spans="2:15">
      <c r="B8" s="583" t="s">
        <v>410</v>
      </c>
    </row>
    <row r="9" spans="2:15">
      <c r="B9" s="1065" t="s">
        <v>176</v>
      </c>
      <c r="C9" s="1065" t="s">
        <v>244</v>
      </c>
      <c r="D9" s="1065" t="s">
        <v>559</v>
      </c>
      <c r="E9" s="1065"/>
      <c r="F9" s="1065"/>
      <c r="G9" s="1065"/>
      <c r="H9" s="1065" t="s">
        <v>560</v>
      </c>
      <c r="I9" s="1065"/>
      <c r="J9" s="1065"/>
      <c r="K9" s="1065"/>
      <c r="L9" s="1065" t="s">
        <v>561</v>
      </c>
      <c r="M9" s="1065"/>
      <c r="N9" s="1065"/>
      <c r="O9" s="1065"/>
    </row>
    <row r="10" spans="2:15" ht="25.5">
      <c r="B10" s="1065"/>
      <c r="C10" s="1065"/>
      <c r="D10" s="1065" t="s">
        <v>411</v>
      </c>
      <c r="E10" s="814" t="s">
        <v>412</v>
      </c>
      <c r="F10" s="1104" t="s">
        <v>413</v>
      </c>
      <c r="G10" s="1104" t="s">
        <v>247</v>
      </c>
      <c r="H10" s="1104" t="s">
        <v>411</v>
      </c>
      <c r="I10" s="814" t="s">
        <v>412</v>
      </c>
      <c r="J10" s="1065" t="s">
        <v>413</v>
      </c>
      <c r="K10" s="1065" t="s">
        <v>247</v>
      </c>
      <c r="L10" s="1065" t="s">
        <v>411</v>
      </c>
      <c r="M10" s="814" t="s">
        <v>412</v>
      </c>
      <c r="N10" s="1065" t="s">
        <v>413</v>
      </c>
      <c r="O10" s="1065" t="s">
        <v>247</v>
      </c>
    </row>
    <row r="11" spans="2:15">
      <c r="B11" s="1065"/>
      <c r="C11" s="1065"/>
      <c r="D11" s="1065"/>
      <c r="E11" s="814" t="s">
        <v>414</v>
      </c>
      <c r="F11" s="1104"/>
      <c r="G11" s="1104"/>
      <c r="H11" s="1104"/>
      <c r="I11" s="814" t="s">
        <v>414</v>
      </c>
      <c r="J11" s="1065"/>
      <c r="K11" s="1065"/>
      <c r="L11" s="1065"/>
      <c r="M11" s="814" t="s">
        <v>414</v>
      </c>
      <c r="N11" s="1065"/>
      <c r="O11" s="1065"/>
    </row>
    <row r="12" spans="2:15">
      <c r="B12" s="814">
        <v>1</v>
      </c>
      <c r="C12" s="1068" t="s">
        <v>415</v>
      </c>
      <c r="D12" s="1068">
        <v>1</v>
      </c>
      <c r="E12" s="714">
        <f>G12/F12</f>
        <v>4698.6000000000004</v>
      </c>
      <c r="F12" s="609">
        <v>278.27</v>
      </c>
      <c r="G12" s="284">
        <f>1238858.04+68624.33</f>
        <v>1307482.3700000001</v>
      </c>
      <c r="H12" s="1138">
        <v>1</v>
      </c>
      <c r="I12" s="1140">
        <f>K12/J12</f>
        <v>531.6</v>
      </c>
      <c r="J12" s="1136">
        <v>979</v>
      </c>
      <c r="K12" s="1134">
        <f>127608.34+553427.4-160644</f>
        <v>520391.74</v>
      </c>
      <c r="L12" s="1068">
        <v>1</v>
      </c>
      <c r="M12" s="1140">
        <f>O12/N12</f>
        <v>448.2</v>
      </c>
      <c r="N12" s="1136">
        <v>979</v>
      </c>
      <c r="O12" s="1134">
        <f>127608.34+471822.27-160644</f>
        <v>438786.61</v>
      </c>
    </row>
    <row r="13" spans="2:15" hidden="1">
      <c r="B13" s="814">
        <v>2</v>
      </c>
      <c r="C13" s="1126"/>
      <c r="D13" s="1126"/>
      <c r="E13" s="714">
        <v>363</v>
      </c>
      <c r="F13" s="609">
        <v>316.54000000000002</v>
      </c>
      <c r="G13" s="284">
        <v>114904.02</v>
      </c>
      <c r="H13" s="1139"/>
      <c r="I13" s="1141"/>
      <c r="J13" s="1137"/>
      <c r="K13" s="1135"/>
      <c r="L13" s="1126"/>
      <c r="M13" s="1141"/>
      <c r="N13" s="1137"/>
      <c r="O13" s="1135"/>
    </row>
    <row r="14" spans="2:15" s="799" customFormat="1" ht="14.25">
      <c r="B14" s="828" t="s">
        <v>25</v>
      </c>
      <c r="C14" s="739" t="s">
        <v>254</v>
      </c>
      <c r="D14" s="740">
        <f>D12</f>
        <v>1</v>
      </c>
      <c r="E14" s="829">
        <f>SUM(E12:E13)</f>
        <v>5061.6000000000004</v>
      </c>
      <c r="F14" s="830" t="s">
        <v>25</v>
      </c>
      <c r="G14" s="831">
        <f>G12</f>
        <v>1307482.3700000001</v>
      </c>
      <c r="H14" s="741">
        <f t="shared" ref="H14:O14" si="0">H12</f>
        <v>1</v>
      </c>
      <c r="I14" s="740">
        <f t="shared" si="0"/>
        <v>531.6</v>
      </c>
      <c r="J14" s="740">
        <f t="shared" si="0"/>
        <v>979</v>
      </c>
      <c r="K14" s="832">
        <f t="shared" si="0"/>
        <v>520391.74</v>
      </c>
      <c r="L14" s="740">
        <f t="shared" si="0"/>
        <v>1</v>
      </c>
      <c r="M14" s="740">
        <f t="shared" si="0"/>
        <v>448.2</v>
      </c>
      <c r="N14" s="740">
        <f t="shared" si="0"/>
        <v>979</v>
      </c>
      <c r="O14" s="832">
        <f t="shared" si="0"/>
        <v>438786.61</v>
      </c>
    </row>
    <row r="15" spans="2:15">
      <c r="G15" s="527"/>
      <c r="K15" s="527"/>
      <c r="O15" s="527"/>
    </row>
    <row r="16" spans="2:15" s="539" customFormat="1">
      <c r="B16" s="473" t="s">
        <v>240</v>
      </c>
      <c r="C16" s="473"/>
      <c r="D16" s="473"/>
      <c r="E16" s="473"/>
      <c r="F16" s="473"/>
      <c r="G16" s="473"/>
      <c r="H16" s="473"/>
      <c r="I16" s="473"/>
      <c r="J16" s="473"/>
      <c r="K16" s="473"/>
      <c r="L16" s="473"/>
      <c r="M16" s="473"/>
      <c r="N16" s="473"/>
      <c r="O16" s="473"/>
    </row>
    <row r="17" spans="2:15">
      <c r="B17" s="319" t="s">
        <v>241</v>
      </c>
      <c r="C17" s="319"/>
      <c r="D17" s="319"/>
      <c r="E17" s="319"/>
      <c r="F17" s="319"/>
      <c r="G17" s="319"/>
      <c r="H17" s="319"/>
      <c r="I17" s="319"/>
      <c r="J17" s="319"/>
      <c r="K17" s="319"/>
      <c r="L17" s="319"/>
      <c r="M17" s="319"/>
      <c r="N17" s="319"/>
      <c r="O17" s="319"/>
    </row>
    <row r="18" spans="2:15">
      <c r="B18" s="319" t="s">
        <v>855</v>
      </c>
      <c r="C18" s="319"/>
      <c r="D18" s="319"/>
      <c r="E18" s="319"/>
      <c r="F18" s="319"/>
      <c r="G18" s="319"/>
      <c r="H18" s="319"/>
      <c r="I18" s="319"/>
      <c r="J18" s="319"/>
      <c r="K18" s="319"/>
      <c r="L18" s="319"/>
      <c r="M18" s="319"/>
      <c r="N18" s="319"/>
      <c r="O18" s="319"/>
    </row>
    <row r="19" spans="2:15">
      <c r="B19" s="472" t="s">
        <v>410</v>
      </c>
      <c r="C19" s="319"/>
      <c r="D19" s="319"/>
      <c r="E19" s="319"/>
      <c r="F19" s="319"/>
      <c r="G19" s="319"/>
      <c r="H19" s="319"/>
      <c r="I19" s="319"/>
      <c r="J19" s="319"/>
      <c r="K19" s="319"/>
      <c r="L19" s="319"/>
      <c r="M19" s="319"/>
      <c r="N19" s="319"/>
      <c r="O19" s="319"/>
    </row>
    <row r="20" spans="2:15">
      <c r="B20" s="1099" t="s">
        <v>176</v>
      </c>
      <c r="C20" s="1099" t="s">
        <v>244</v>
      </c>
      <c r="D20" s="1099" t="s">
        <v>559</v>
      </c>
      <c r="E20" s="1099"/>
      <c r="F20" s="1099"/>
      <c r="G20" s="1099"/>
      <c r="H20" s="1099" t="s">
        <v>560</v>
      </c>
      <c r="I20" s="1099"/>
      <c r="J20" s="1099"/>
      <c r="K20" s="1099"/>
      <c r="L20" s="1099" t="s">
        <v>561</v>
      </c>
      <c r="M20" s="1099"/>
      <c r="N20" s="1099"/>
      <c r="O20" s="1099"/>
    </row>
    <row r="21" spans="2:15" ht="25.5">
      <c r="B21" s="1099"/>
      <c r="C21" s="1099"/>
      <c r="D21" s="1099" t="s">
        <v>411</v>
      </c>
      <c r="E21" s="824" t="s">
        <v>412</v>
      </c>
      <c r="F21" s="1099" t="s">
        <v>413</v>
      </c>
      <c r="G21" s="1099" t="s">
        <v>247</v>
      </c>
      <c r="H21" s="1099" t="s">
        <v>411</v>
      </c>
      <c r="I21" s="824" t="s">
        <v>412</v>
      </c>
      <c r="J21" s="1099" t="s">
        <v>413</v>
      </c>
      <c r="K21" s="1099" t="s">
        <v>247</v>
      </c>
      <c r="L21" s="1099" t="s">
        <v>411</v>
      </c>
      <c r="M21" s="824" t="s">
        <v>412</v>
      </c>
      <c r="N21" s="1099" t="s">
        <v>413</v>
      </c>
      <c r="O21" s="1099" t="s">
        <v>247</v>
      </c>
    </row>
    <row r="22" spans="2:15">
      <c r="B22" s="1099"/>
      <c r="C22" s="1099"/>
      <c r="D22" s="1099"/>
      <c r="E22" s="824" t="s">
        <v>414</v>
      </c>
      <c r="F22" s="1099"/>
      <c r="G22" s="1099"/>
      <c r="H22" s="1099"/>
      <c r="I22" s="824" t="s">
        <v>414</v>
      </c>
      <c r="J22" s="1099"/>
      <c r="K22" s="1099"/>
      <c r="L22" s="1099"/>
      <c r="M22" s="824" t="s">
        <v>414</v>
      </c>
      <c r="N22" s="1099"/>
      <c r="O22" s="1099"/>
    </row>
    <row r="23" spans="2:15">
      <c r="B23" s="824">
        <v>1</v>
      </c>
      <c r="C23" s="467" t="s">
        <v>415</v>
      </c>
      <c r="D23" s="824">
        <v>1</v>
      </c>
      <c r="E23" s="860">
        <v>0</v>
      </c>
      <c r="F23" s="861">
        <v>0</v>
      </c>
      <c r="G23" s="476">
        <v>0</v>
      </c>
      <c r="H23" s="824">
        <v>1</v>
      </c>
      <c r="I23" s="860">
        <f>K23/J23</f>
        <v>130.30000000000001</v>
      </c>
      <c r="J23" s="862">
        <v>3836</v>
      </c>
      <c r="K23" s="476">
        <v>499783.66</v>
      </c>
      <c r="L23" s="824">
        <v>1</v>
      </c>
      <c r="M23" s="860">
        <f>O23/N23</f>
        <v>130.30000000000001</v>
      </c>
      <c r="N23" s="862">
        <v>3836</v>
      </c>
      <c r="O23" s="476">
        <v>499783.66</v>
      </c>
    </row>
    <row r="24" spans="2:15">
      <c r="B24" s="469"/>
      <c r="C24" s="490" t="s">
        <v>254</v>
      </c>
      <c r="D24" s="491">
        <f>D23</f>
        <v>1</v>
      </c>
      <c r="E24" s="863">
        <f>E23</f>
        <v>0</v>
      </c>
      <c r="F24" s="864">
        <f t="shared" ref="F24" si="1">F23</f>
        <v>0</v>
      </c>
      <c r="G24" s="476">
        <f>G23</f>
        <v>0</v>
      </c>
      <c r="H24" s="491">
        <f>H23</f>
        <v>1</v>
      </c>
      <c r="I24" s="491">
        <f t="shared" ref="I24:J24" si="2">I23</f>
        <v>130.30000000000001</v>
      </c>
      <c r="J24" s="491">
        <f t="shared" si="2"/>
        <v>3836</v>
      </c>
      <c r="K24" s="865">
        <f>K23</f>
        <v>499783.66</v>
      </c>
      <c r="L24" s="491">
        <f>L23</f>
        <v>1</v>
      </c>
      <c r="M24" s="491">
        <f t="shared" ref="M24:N24" si="3">M23</f>
        <v>130.30000000000001</v>
      </c>
      <c r="N24" s="491">
        <f t="shared" si="3"/>
        <v>3836</v>
      </c>
      <c r="O24" s="866">
        <f>O23</f>
        <v>499783.66</v>
      </c>
    </row>
    <row r="25" spans="2:15">
      <c r="G25" s="527"/>
      <c r="K25" s="527"/>
      <c r="O25" s="527"/>
    </row>
    <row r="26" spans="2:15" ht="15.75">
      <c r="B26" s="586" t="s">
        <v>416</v>
      </c>
    </row>
    <row r="28" spans="2:15" s="539" customFormat="1">
      <c r="B28" s="539" t="s">
        <v>235</v>
      </c>
      <c r="N28" s="374"/>
      <c r="O28" s="374"/>
    </row>
    <row r="29" spans="2:15">
      <c r="B29" s="374" t="s">
        <v>236</v>
      </c>
      <c r="N29" s="804"/>
    </row>
    <row r="30" spans="2:15">
      <c r="B30" s="374" t="s">
        <v>856</v>
      </c>
      <c r="N30" s="804"/>
    </row>
    <row r="31" spans="2:15">
      <c r="B31" s="583" t="s">
        <v>926</v>
      </c>
    </row>
    <row r="32" spans="2:15">
      <c r="B32" s="1065" t="s">
        <v>176</v>
      </c>
      <c r="C32" s="1065" t="s">
        <v>244</v>
      </c>
      <c r="D32" s="1065" t="s">
        <v>418</v>
      </c>
      <c r="E32" s="1065" t="s">
        <v>559</v>
      </c>
      <c r="F32" s="1065"/>
      <c r="G32" s="1065"/>
      <c r="H32" s="1065" t="s">
        <v>560</v>
      </c>
      <c r="I32" s="1065"/>
      <c r="J32" s="1065"/>
      <c r="K32" s="1065" t="s">
        <v>561</v>
      </c>
      <c r="L32" s="1065"/>
      <c r="M32" s="1065"/>
    </row>
    <row r="33" spans="2:15">
      <c r="B33" s="1065"/>
      <c r="C33" s="1065"/>
      <c r="D33" s="1065"/>
      <c r="E33" s="1065" t="s">
        <v>419</v>
      </c>
      <c r="F33" s="1065" t="s">
        <v>307</v>
      </c>
      <c r="G33" s="1065" t="s">
        <v>247</v>
      </c>
      <c r="H33" s="1065" t="s">
        <v>419</v>
      </c>
      <c r="I33" s="1065" t="s">
        <v>307</v>
      </c>
      <c r="J33" s="1065" t="s">
        <v>247</v>
      </c>
      <c r="K33" s="1065" t="s">
        <v>419</v>
      </c>
      <c r="L33" s="1065" t="s">
        <v>307</v>
      </c>
      <c r="M33" s="1065" t="s">
        <v>247</v>
      </c>
    </row>
    <row r="34" spans="2:15">
      <c r="B34" s="1065"/>
      <c r="C34" s="1065"/>
      <c r="D34" s="1065"/>
      <c r="E34" s="1065"/>
      <c r="F34" s="1065"/>
      <c r="G34" s="1065"/>
      <c r="H34" s="1065"/>
      <c r="I34" s="1065"/>
      <c r="J34" s="1065"/>
      <c r="K34" s="1065"/>
      <c r="L34" s="1065"/>
      <c r="M34" s="1065"/>
    </row>
    <row r="35" spans="2:15" ht="25.5">
      <c r="B35" s="816">
        <v>1</v>
      </c>
      <c r="C35" s="287" t="s">
        <v>431</v>
      </c>
      <c r="D35" s="816" t="s">
        <v>432</v>
      </c>
      <c r="E35" s="834">
        <v>840.6</v>
      </c>
      <c r="F35" s="284">
        <v>11400</v>
      </c>
      <c r="G35" s="284">
        <f>E35*F35</f>
        <v>9582840</v>
      </c>
      <c r="H35" s="834">
        <v>840.6</v>
      </c>
      <c r="I35" s="284">
        <v>11400</v>
      </c>
      <c r="J35" s="88">
        <f>H35*I35</f>
        <v>9582840</v>
      </c>
      <c r="K35" s="714">
        <v>840.6</v>
      </c>
      <c r="L35" s="88">
        <f>M35/K35</f>
        <v>3951.97</v>
      </c>
      <c r="M35" s="88">
        <v>3322023.42</v>
      </c>
    </row>
    <row r="36" spans="2:15" ht="25.5">
      <c r="B36" s="816">
        <v>2</v>
      </c>
      <c r="C36" s="287" t="s">
        <v>431</v>
      </c>
      <c r="D36" s="816" t="s">
        <v>432</v>
      </c>
      <c r="E36" s="834">
        <v>324.39999999999998</v>
      </c>
      <c r="F36" s="284">
        <v>8772</v>
      </c>
      <c r="G36" s="284">
        <f>E36*F36</f>
        <v>2845636.8</v>
      </c>
      <c r="H36" s="834">
        <v>324.39999999999998</v>
      </c>
      <c r="I36" s="284">
        <v>8772</v>
      </c>
      <c r="J36" s="88">
        <f>H36*I36</f>
        <v>2845636.8</v>
      </c>
      <c r="K36" s="714">
        <v>324.39999999999998</v>
      </c>
      <c r="L36" s="88">
        <f>M36/K36</f>
        <v>4312.62</v>
      </c>
      <c r="M36" s="88">
        <v>1399014.96</v>
      </c>
    </row>
    <row r="37" spans="2:15" s="799" customFormat="1" ht="14.25">
      <c r="B37" s="835"/>
      <c r="C37" s="836" t="s">
        <v>931</v>
      </c>
      <c r="D37" s="837" t="s">
        <v>25</v>
      </c>
      <c r="E37" s="837" t="s">
        <v>25</v>
      </c>
      <c r="F37" s="837" t="s">
        <v>25</v>
      </c>
      <c r="G37" s="737">
        <f>SUM(G35:G36)</f>
        <v>12428476.800000001</v>
      </c>
      <c r="H37" s="837" t="s">
        <v>25</v>
      </c>
      <c r="I37" s="837" t="s">
        <v>25</v>
      </c>
      <c r="J37" s="711">
        <f>SUM(J35:J36)</f>
        <v>12428476.800000001</v>
      </c>
      <c r="K37" s="711" t="s">
        <v>25</v>
      </c>
      <c r="L37" s="711" t="s">
        <v>25</v>
      </c>
      <c r="M37" s="711">
        <f>SUM(M35:M36)</f>
        <v>4721038.38</v>
      </c>
    </row>
    <row r="38" spans="2:15" ht="38.25">
      <c r="B38" s="814">
        <v>3</v>
      </c>
      <c r="C38" s="815" t="s">
        <v>420</v>
      </c>
      <c r="D38" s="814" t="s">
        <v>421</v>
      </c>
      <c r="E38" s="814">
        <v>12</v>
      </c>
      <c r="F38" s="88">
        <f t="shared" ref="F38:F40" si="4">G38/E38</f>
        <v>2208.25</v>
      </c>
      <c r="G38" s="88">
        <v>26499</v>
      </c>
      <c r="H38" s="814">
        <v>12</v>
      </c>
      <c r="I38" s="88">
        <f t="shared" ref="I38" si="5">J38/H38</f>
        <v>4428.67</v>
      </c>
      <c r="J38" s="88">
        <v>53144</v>
      </c>
      <c r="K38" s="814">
        <v>12</v>
      </c>
      <c r="L38" s="88">
        <f t="shared" ref="L38" si="6">M38/K38</f>
        <v>4428.67</v>
      </c>
      <c r="M38" s="88">
        <v>53144</v>
      </c>
    </row>
    <row r="39" spans="2:15" ht="38.25">
      <c r="B39" s="814">
        <v>4</v>
      </c>
      <c r="C39" s="815" t="s">
        <v>530</v>
      </c>
      <c r="D39" s="814" t="s">
        <v>397</v>
      </c>
      <c r="E39" s="814">
        <v>1</v>
      </c>
      <c r="F39" s="88">
        <v>2500</v>
      </c>
      <c r="G39" s="88">
        <f>E39*F39</f>
        <v>2500</v>
      </c>
      <c r="H39" s="814">
        <v>0</v>
      </c>
      <c r="I39" s="88">
        <v>0</v>
      </c>
      <c r="J39" s="88">
        <v>0</v>
      </c>
      <c r="K39" s="814">
        <v>0</v>
      </c>
      <c r="L39" s="88">
        <v>0</v>
      </c>
      <c r="M39" s="88">
        <v>0</v>
      </c>
    </row>
    <row r="40" spans="2:15" ht="89.25">
      <c r="B40" s="814">
        <v>5</v>
      </c>
      <c r="C40" s="815" t="s">
        <v>927</v>
      </c>
      <c r="D40" s="814" t="s">
        <v>397</v>
      </c>
      <c r="E40" s="814">
        <v>6</v>
      </c>
      <c r="F40" s="88">
        <f t="shared" si="4"/>
        <v>1250</v>
      </c>
      <c r="G40" s="88">
        <v>7500</v>
      </c>
      <c r="H40" s="814">
        <v>6</v>
      </c>
      <c r="I40" s="88">
        <f t="shared" ref="I40" si="7">J40/H40</f>
        <v>1250</v>
      </c>
      <c r="J40" s="88">
        <v>7500</v>
      </c>
      <c r="K40" s="814">
        <v>6</v>
      </c>
      <c r="L40" s="88">
        <f t="shared" ref="L40" si="8">M40/K40</f>
        <v>1250</v>
      </c>
      <c r="M40" s="88">
        <v>7500</v>
      </c>
    </row>
    <row r="41" spans="2:15">
      <c r="B41" s="814">
        <v>6</v>
      </c>
      <c r="C41" s="815" t="s">
        <v>423</v>
      </c>
      <c r="D41" s="814" t="s">
        <v>397</v>
      </c>
      <c r="E41" s="814">
        <v>0</v>
      </c>
      <c r="F41" s="88">
        <v>0</v>
      </c>
      <c r="G41" s="88">
        <v>0</v>
      </c>
      <c r="H41" s="814">
        <v>1</v>
      </c>
      <c r="I41" s="88">
        <f t="shared" ref="I41" si="9">J41/H41</f>
        <v>100000</v>
      </c>
      <c r="J41" s="88">
        <v>100000</v>
      </c>
      <c r="K41" s="814">
        <v>1</v>
      </c>
      <c r="L41" s="88">
        <f t="shared" ref="L41" si="10">M41/K41</f>
        <v>100000</v>
      </c>
      <c r="M41" s="88">
        <v>100000</v>
      </c>
    </row>
    <row r="42" spans="2:15" s="799" customFormat="1" ht="14.25">
      <c r="B42" s="835"/>
      <c r="C42" s="836" t="s">
        <v>932</v>
      </c>
      <c r="D42" s="837" t="s">
        <v>25</v>
      </c>
      <c r="E42" s="837" t="s">
        <v>25</v>
      </c>
      <c r="F42" s="837" t="s">
        <v>25</v>
      </c>
      <c r="G42" s="737">
        <f>SUM(G38:G41)</f>
        <v>36499</v>
      </c>
      <c r="H42" s="837" t="s">
        <v>25</v>
      </c>
      <c r="I42" s="837" t="s">
        <v>25</v>
      </c>
      <c r="J42" s="711">
        <f>SUM(J38:J41)</f>
        <v>160644</v>
      </c>
      <c r="K42" s="711" t="s">
        <v>25</v>
      </c>
      <c r="L42" s="711" t="s">
        <v>25</v>
      </c>
      <c r="M42" s="711">
        <f>SUM(M38:M41)</f>
        <v>160644</v>
      </c>
      <c r="O42" s="838"/>
    </row>
    <row r="43" spans="2:15">
      <c r="B43" s="535"/>
      <c r="C43" s="533"/>
      <c r="D43" s="535"/>
      <c r="E43" s="535"/>
      <c r="F43" s="536"/>
      <c r="G43" s="536"/>
      <c r="H43" s="535"/>
      <c r="I43" s="536"/>
      <c r="J43" s="536"/>
      <c r="K43" s="535"/>
      <c r="L43" s="536"/>
      <c r="M43" s="536"/>
    </row>
    <row r="44" spans="2:15">
      <c r="B44" s="535"/>
      <c r="C44" s="533"/>
      <c r="D44" s="535"/>
      <c r="E44" s="535"/>
      <c r="F44" s="536"/>
      <c r="G44" s="536"/>
      <c r="H44" s="535"/>
      <c r="I44" s="536"/>
      <c r="J44" s="536"/>
      <c r="K44" s="535"/>
      <c r="L44" s="536"/>
      <c r="M44" s="536"/>
    </row>
    <row r="45" spans="2:15">
      <c r="B45" s="473" t="s">
        <v>240</v>
      </c>
      <c r="C45" s="473"/>
      <c r="D45" s="473"/>
      <c r="E45" s="473"/>
      <c r="F45" s="473"/>
      <c r="G45" s="473"/>
      <c r="H45" s="473"/>
      <c r="I45" s="473"/>
      <c r="J45" s="473"/>
      <c r="K45" s="473"/>
      <c r="L45" s="473"/>
      <c r="M45" s="473"/>
    </row>
    <row r="46" spans="2:15">
      <c r="B46" s="319" t="s">
        <v>241</v>
      </c>
      <c r="C46" s="319"/>
      <c r="D46" s="319"/>
      <c r="E46" s="319"/>
      <c r="F46" s="319"/>
      <c r="G46" s="319"/>
      <c r="H46" s="319"/>
      <c r="I46" s="319"/>
      <c r="J46" s="319"/>
      <c r="K46" s="319"/>
      <c r="L46" s="319"/>
      <c r="M46" s="319"/>
    </row>
    <row r="47" spans="2:15">
      <c r="B47" s="319" t="s">
        <v>929</v>
      </c>
      <c r="C47" s="319"/>
      <c r="D47" s="319"/>
      <c r="E47" s="319"/>
      <c r="F47" s="319"/>
      <c r="G47" s="319"/>
      <c r="H47" s="319"/>
      <c r="I47" s="319"/>
      <c r="J47" s="319"/>
      <c r="K47" s="319"/>
      <c r="L47" s="319"/>
      <c r="M47" s="319"/>
    </row>
    <row r="48" spans="2:15">
      <c r="B48" s="319" t="s">
        <v>410</v>
      </c>
      <c r="C48" s="319"/>
      <c r="D48" s="319"/>
      <c r="E48" s="319"/>
      <c r="F48" s="319"/>
      <c r="G48" s="319"/>
      <c r="H48" s="319"/>
      <c r="I48" s="319"/>
      <c r="J48" s="319"/>
      <c r="K48" s="319"/>
      <c r="L48" s="319"/>
      <c r="M48" s="319"/>
    </row>
    <row r="49" spans="2:13">
      <c r="B49" s="1099" t="s">
        <v>176</v>
      </c>
      <c r="C49" s="1099" t="s">
        <v>244</v>
      </c>
      <c r="D49" s="1099" t="s">
        <v>418</v>
      </c>
      <c r="E49" s="1099" t="s">
        <v>559</v>
      </c>
      <c r="F49" s="1099"/>
      <c r="G49" s="1099"/>
      <c r="H49" s="1099" t="s">
        <v>560</v>
      </c>
      <c r="I49" s="1099"/>
      <c r="J49" s="1099"/>
      <c r="K49" s="1099" t="s">
        <v>561</v>
      </c>
      <c r="L49" s="1099"/>
      <c r="M49" s="1099"/>
    </row>
    <row r="50" spans="2:13" ht="25.5">
      <c r="B50" s="1099"/>
      <c r="C50" s="1099"/>
      <c r="D50" s="1099"/>
      <c r="E50" s="824" t="s">
        <v>419</v>
      </c>
      <c r="F50" s="824" t="s">
        <v>307</v>
      </c>
      <c r="G50" s="824" t="s">
        <v>247</v>
      </c>
      <c r="H50" s="824" t="s">
        <v>419</v>
      </c>
      <c r="I50" s="824" t="s">
        <v>307</v>
      </c>
      <c r="J50" s="824" t="s">
        <v>247</v>
      </c>
      <c r="K50" s="824" t="s">
        <v>419</v>
      </c>
      <c r="L50" s="824" t="s">
        <v>307</v>
      </c>
      <c r="M50" s="824" t="s">
        <v>247</v>
      </c>
    </row>
    <row r="51" spans="2:13" ht="38.25">
      <c r="B51" s="826">
        <v>1</v>
      </c>
      <c r="C51" s="867" t="s">
        <v>622</v>
      </c>
      <c r="D51" s="826" t="s">
        <v>397</v>
      </c>
      <c r="E51" s="826">
        <v>0</v>
      </c>
      <c r="F51" s="468">
        <v>0</v>
      </c>
      <c r="G51" s="468">
        <v>418590</v>
      </c>
      <c r="H51" s="826">
        <v>8</v>
      </c>
      <c r="I51" s="476">
        <f>J51/H51</f>
        <v>52323.75</v>
      </c>
      <c r="J51" s="476">
        <v>418590</v>
      </c>
      <c r="K51" s="824">
        <v>8</v>
      </c>
      <c r="L51" s="476">
        <f>M51/K51</f>
        <v>52323.75</v>
      </c>
      <c r="M51" s="476">
        <v>418590</v>
      </c>
    </row>
    <row r="52" spans="2:13" ht="38.25">
      <c r="B52" s="824">
        <v>2</v>
      </c>
      <c r="C52" s="467" t="s">
        <v>623</v>
      </c>
      <c r="D52" s="824" t="s">
        <v>397</v>
      </c>
      <c r="E52" s="824">
        <v>8</v>
      </c>
      <c r="F52" s="476">
        <f>G52/E52</f>
        <v>2206.91</v>
      </c>
      <c r="G52" s="476">
        <v>17655.259999999998</v>
      </c>
      <c r="H52" s="824">
        <v>8</v>
      </c>
      <c r="I52" s="476">
        <f>J52/H52</f>
        <v>2206.91</v>
      </c>
      <c r="J52" s="476">
        <v>17655.259999999998</v>
      </c>
      <c r="K52" s="824">
        <v>8</v>
      </c>
      <c r="L52" s="476">
        <f>M52/K52</f>
        <v>2206.91</v>
      </c>
      <c r="M52" s="476">
        <v>17655.259999999998</v>
      </c>
    </row>
    <row r="53" spans="2:13" ht="51">
      <c r="B53" s="824">
        <v>3</v>
      </c>
      <c r="C53" s="467" t="s">
        <v>624</v>
      </c>
      <c r="D53" s="824" t="s">
        <v>397</v>
      </c>
      <c r="E53" s="824">
        <v>0</v>
      </c>
      <c r="F53" s="476">
        <v>0</v>
      </c>
      <c r="G53" s="476">
        <v>0</v>
      </c>
      <c r="H53" s="824">
        <v>10</v>
      </c>
      <c r="I53" s="476">
        <f>J53/H53</f>
        <v>7678.82</v>
      </c>
      <c r="J53" s="476">
        <v>76788.2</v>
      </c>
      <c r="K53" s="824">
        <v>10</v>
      </c>
      <c r="L53" s="476">
        <f>M53/K53</f>
        <v>7678.82</v>
      </c>
      <c r="M53" s="476">
        <v>76788.2</v>
      </c>
    </row>
    <row r="54" spans="2:13" ht="51">
      <c r="B54" s="824">
        <v>4</v>
      </c>
      <c r="C54" s="467" t="s">
        <v>643</v>
      </c>
      <c r="D54" s="824" t="s">
        <v>397</v>
      </c>
      <c r="E54" s="824">
        <f>100+10</f>
        <v>110</v>
      </c>
      <c r="F54" s="476">
        <f>G54/E54</f>
        <v>20219.740000000002</v>
      </c>
      <c r="G54" s="868">
        <f>1383821.9+840349.99</f>
        <v>2224171.89</v>
      </c>
      <c r="H54" s="824">
        <v>200</v>
      </c>
      <c r="I54" s="476">
        <f>J54/H54</f>
        <v>9483.35</v>
      </c>
      <c r="J54" s="476">
        <f>1383821.9+512848.95</f>
        <v>1896670.85</v>
      </c>
      <c r="K54" s="824">
        <v>200</v>
      </c>
      <c r="L54" s="476">
        <f>M54/K54</f>
        <v>9492.68</v>
      </c>
      <c r="M54" s="476">
        <f>1383821.9+514713.12</f>
        <v>1898535.02</v>
      </c>
    </row>
    <row r="55" spans="2:13">
      <c r="B55" s="469"/>
      <c r="C55" s="490" t="s">
        <v>254</v>
      </c>
      <c r="D55" s="492" t="s">
        <v>25</v>
      </c>
      <c r="E55" s="492" t="s">
        <v>25</v>
      </c>
      <c r="F55" s="869" t="s">
        <v>25</v>
      </c>
      <c r="G55" s="869">
        <f>SUM(G51:G54)</f>
        <v>2660417.15</v>
      </c>
      <c r="H55" s="493" t="s">
        <v>25</v>
      </c>
      <c r="I55" s="866" t="s">
        <v>25</v>
      </c>
      <c r="J55" s="866">
        <f>SUM(J51:J54)</f>
        <v>2409704.31</v>
      </c>
      <c r="K55" s="866" t="s">
        <v>25</v>
      </c>
      <c r="L55" s="866" t="s">
        <v>25</v>
      </c>
      <c r="M55" s="866">
        <f>SUM(M51:M54)</f>
        <v>2411568.48</v>
      </c>
    </row>
    <row r="56" spans="2:13">
      <c r="B56" s="535"/>
      <c r="C56" s="533"/>
      <c r="D56" s="535"/>
      <c r="E56" s="535"/>
      <c r="F56" s="536"/>
      <c r="G56" s="536"/>
      <c r="H56" s="535"/>
      <c r="I56" s="536"/>
      <c r="J56" s="536"/>
      <c r="K56" s="535"/>
      <c r="L56" s="536"/>
      <c r="M56" s="536"/>
    </row>
    <row r="57" spans="2:13">
      <c r="B57" s="535"/>
      <c r="C57" s="533"/>
      <c r="D57" s="535"/>
      <c r="E57" s="535"/>
      <c r="F57" s="536"/>
      <c r="G57" s="536"/>
      <c r="H57" s="535"/>
      <c r="I57" s="536"/>
      <c r="J57" s="536"/>
      <c r="K57" s="535"/>
      <c r="L57" s="536"/>
      <c r="M57" s="536"/>
    </row>
    <row r="58" spans="2:13">
      <c r="B58" s="539" t="s">
        <v>235</v>
      </c>
      <c r="C58" s="539"/>
      <c r="D58" s="539"/>
      <c r="E58" s="539"/>
      <c r="F58" s="539"/>
      <c r="G58" s="539"/>
      <c r="H58" s="539"/>
      <c r="I58" s="539"/>
      <c r="J58" s="539"/>
      <c r="K58" s="539"/>
      <c r="L58" s="539"/>
      <c r="M58" s="539"/>
    </row>
    <row r="59" spans="2:13">
      <c r="B59" s="374" t="s">
        <v>236</v>
      </c>
    </row>
    <row r="60" spans="2:13">
      <c r="B60" s="374" t="s">
        <v>856</v>
      </c>
    </row>
    <row r="61" spans="2:13">
      <c r="B61" s="583" t="s">
        <v>930</v>
      </c>
    </row>
    <row r="62" spans="2:13">
      <c r="B62" s="1065" t="s">
        <v>176</v>
      </c>
      <c r="C62" s="1065" t="s">
        <v>244</v>
      </c>
      <c r="D62" s="1065" t="s">
        <v>418</v>
      </c>
      <c r="E62" s="1065" t="s">
        <v>559</v>
      </c>
      <c r="F62" s="1065"/>
      <c r="G62" s="1065"/>
      <c r="H62" s="1065" t="s">
        <v>560</v>
      </c>
      <c r="I62" s="1065"/>
      <c r="J62" s="1065"/>
      <c r="K62" s="1065" t="s">
        <v>561</v>
      </c>
      <c r="L62" s="1065"/>
      <c r="M62" s="1065"/>
    </row>
    <row r="63" spans="2:13">
      <c r="B63" s="1065"/>
      <c r="C63" s="1065"/>
      <c r="D63" s="1065"/>
      <c r="E63" s="1065" t="s">
        <v>419</v>
      </c>
      <c r="F63" s="1065" t="s">
        <v>307</v>
      </c>
      <c r="G63" s="1065" t="s">
        <v>247</v>
      </c>
      <c r="H63" s="1065" t="s">
        <v>419</v>
      </c>
      <c r="I63" s="1065" t="s">
        <v>307</v>
      </c>
      <c r="J63" s="1065" t="s">
        <v>247</v>
      </c>
      <c r="K63" s="1065" t="s">
        <v>419</v>
      </c>
      <c r="L63" s="1065" t="s">
        <v>307</v>
      </c>
      <c r="M63" s="1065" t="s">
        <v>247</v>
      </c>
    </row>
    <row r="64" spans="2:13">
      <c r="B64" s="1065"/>
      <c r="C64" s="1065"/>
      <c r="D64" s="1065"/>
      <c r="E64" s="1065"/>
      <c r="F64" s="1065"/>
      <c r="G64" s="1065"/>
      <c r="H64" s="1065"/>
      <c r="I64" s="1065"/>
      <c r="J64" s="1065"/>
      <c r="K64" s="1065"/>
      <c r="L64" s="1065"/>
      <c r="M64" s="1065"/>
    </row>
    <row r="65" spans="2:13">
      <c r="B65" s="814">
        <v>1</v>
      </c>
      <c r="C65" s="815" t="s">
        <v>422</v>
      </c>
      <c r="D65" s="814" t="s">
        <v>397</v>
      </c>
      <c r="E65" s="814">
        <v>12</v>
      </c>
      <c r="F65" s="88">
        <f t="shared" ref="F65" si="11">G65/E65</f>
        <v>4279.0600000000004</v>
      </c>
      <c r="G65" s="88">
        <f>52171.2-822.49</f>
        <v>51348.71</v>
      </c>
      <c r="H65" s="814">
        <v>12</v>
      </c>
      <c r="I65" s="88">
        <f t="shared" ref="I65:I67" si="12">J65/H65</f>
        <v>4347.6000000000004</v>
      </c>
      <c r="J65" s="88">
        <v>52171.199999999997</v>
      </c>
      <c r="K65" s="814">
        <v>12</v>
      </c>
      <c r="L65" s="88">
        <f t="shared" ref="L65:L67" si="13">M65/K65</f>
        <v>4347.6000000000004</v>
      </c>
      <c r="M65" s="88">
        <v>52171.199999999997</v>
      </c>
    </row>
    <row r="66" spans="2:13" ht="51">
      <c r="B66" s="814">
        <v>2</v>
      </c>
      <c r="C66" s="815" t="s">
        <v>928</v>
      </c>
      <c r="D66" s="814" t="s">
        <v>397</v>
      </c>
      <c r="E66" s="814">
        <v>12</v>
      </c>
      <c r="F66" s="88">
        <f t="shared" ref="F66:F67" si="14">G66/E66</f>
        <v>3058.15</v>
      </c>
      <c r="G66" s="88">
        <v>36697.800000000003</v>
      </c>
      <c r="H66" s="814">
        <v>12</v>
      </c>
      <c r="I66" s="88">
        <f t="shared" si="12"/>
        <v>2780.14</v>
      </c>
      <c r="J66" s="88">
        <v>33361.68</v>
      </c>
      <c r="K66" s="814">
        <v>12</v>
      </c>
      <c r="L66" s="88">
        <f t="shared" si="13"/>
        <v>2780.14</v>
      </c>
      <c r="M66" s="88">
        <v>33361.68</v>
      </c>
    </row>
    <row r="67" spans="2:13" ht="25.5">
      <c r="B67" s="814">
        <v>3</v>
      </c>
      <c r="C67" s="815" t="s">
        <v>426</v>
      </c>
      <c r="D67" s="814" t="s">
        <v>397</v>
      </c>
      <c r="E67" s="814">
        <v>12</v>
      </c>
      <c r="F67" s="88">
        <f t="shared" si="14"/>
        <v>8333.33</v>
      </c>
      <c r="G67" s="88">
        <v>99999.96</v>
      </c>
      <c r="H67" s="814">
        <v>12</v>
      </c>
      <c r="I67" s="88">
        <f t="shared" si="12"/>
        <v>8333.33</v>
      </c>
      <c r="J67" s="88">
        <v>99999.96</v>
      </c>
      <c r="K67" s="814">
        <v>12</v>
      </c>
      <c r="L67" s="88">
        <f t="shared" si="13"/>
        <v>8333.33</v>
      </c>
      <c r="M67" s="88">
        <v>99999.96</v>
      </c>
    </row>
    <row r="68" spans="2:13" ht="25.5">
      <c r="B68" s="816">
        <v>4</v>
      </c>
      <c r="C68" s="287" t="s">
        <v>430</v>
      </c>
      <c r="D68" s="816" t="s">
        <v>397</v>
      </c>
      <c r="E68" s="843">
        <v>12</v>
      </c>
      <c r="F68" s="284">
        <f t="shared" ref="F68" si="15">G68/E68</f>
        <v>7875</v>
      </c>
      <c r="G68" s="284">
        <v>94500</v>
      </c>
      <c r="H68" s="843">
        <f>J68/I68</f>
        <v>12</v>
      </c>
      <c r="I68" s="284">
        <v>15000</v>
      </c>
      <c r="J68" s="88">
        <v>180000</v>
      </c>
      <c r="K68" s="589">
        <f>M68/L68</f>
        <v>12</v>
      </c>
      <c r="L68" s="88">
        <v>15000</v>
      </c>
      <c r="M68" s="88">
        <v>180000</v>
      </c>
    </row>
    <row r="69" spans="2:13">
      <c r="B69" s="844"/>
      <c r="C69" s="845" t="s">
        <v>254</v>
      </c>
      <c r="D69" s="842" t="s">
        <v>25</v>
      </c>
      <c r="E69" s="842" t="s">
        <v>25</v>
      </c>
      <c r="F69" s="842" t="s">
        <v>25</v>
      </c>
      <c r="G69" s="284">
        <f>SUM(G65:G68)</f>
        <v>282546.46999999997</v>
      </c>
      <c r="H69" s="842" t="s">
        <v>25</v>
      </c>
      <c r="I69" s="842" t="s">
        <v>25</v>
      </c>
      <c r="J69" s="88">
        <f>SUM(J65:J68)</f>
        <v>365532.84</v>
      </c>
      <c r="K69" s="88" t="s">
        <v>25</v>
      </c>
      <c r="L69" s="88" t="s">
        <v>25</v>
      </c>
      <c r="M69" s="88">
        <f>SUM(M65:M68)</f>
        <v>365532.84</v>
      </c>
    </row>
    <row r="70" spans="2:13">
      <c r="B70" s="535"/>
      <c r="C70" s="533"/>
      <c r="D70" s="535"/>
      <c r="E70" s="535"/>
      <c r="F70" s="536"/>
      <c r="G70" s="536"/>
      <c r="H70" s="535"/>
      <c r="I70" s="536"/>
      <c r="J70" s="536"/>
      <c r="K70" s="535"/>
      <c r="L70" s="536"/>
      <c r="M70" s="536"/>
    </row>
    <row r="71" spans="2:13">
      <c r="B71" s="535"/>
      <c r="C71" s="533"/>
      <c r="D71" s="535"/>
      <c r="E71" s="535"/>
      <c r="F71" s="536"/>
      <c r="G71" s="536"/>
      <c r="H71" s="535"/>
      <c r="I71" s="536"/>
      <c r="J71" s="536"/>
      <c r="K71" s="535"/>
      <c r="L71" s="536"/>
      <c r="M71" s="536"/>
    </row>
    <row r="72" spans="2:13">
      <c r="B72" s="473" t="s">
        <v>240</v>
      </c>
      <c r="C72" s="473"/>
      <c r="D72" s="473"/>
      <c r="E72" s="473"/>
      <c r="F72" s="473"/>
      <c r="G72" s="473"/>
      <c r="H72" s="473"/>
      <c r="I72" s="473"/>
      <c r="J72" s="473"/>
      <c r="K72" s="473"/>
      <c r="L72" s="473"/>
      <c r="M72" s="473"/>
    </row>
    <row r="73" spans="2:13">
      <c r="B73" s="319" t="s">
        <v>241</v>
      </c>
      <c r="C73" s="319"/>
      <c r="D73" s="319"/>
      <c r="E73" s="319"/>
      <c r="F73" s="319"/>
      <c r="G73" s="319"/>
      <c r="H73" s="319"/>
      <c r="I73" s="319"/>
      <c r="J73" s="319"/>
      <c r="K73" s="319"/>
      <c r="L73" s="319"/>
      <c r="M73" s="319"/>
    </row>
    <row r="74" spans="2:13">
      <c r="B74" s="319" t="s">
        <v>929</v>
      </c>
      <c r="C74" s="319"/>
      <c r="D74" s="319"/>
      <c r="E74" s="319"/>
      <c r="F74" s="319"/>
      <c r="G74" s="319"/>
      <c r="H74" s="319"/>
      <c r="I74" s="319"/>
      <c r="J74" s="319"/>
      <c r="K74" s="319"/>
      <c r="L74" s="319"/>
      <c r="M74" s="319"/>
    </row>
    <row r="75" spans="2:13">
      <c r="B75" s="319" t="s">
        <v>930</v>
      </c>
      <c r="C75" s="319"/>
      <c r="D75" s="319"/>
      <c r="E75" s="319"/>
      <c r="F75" s="319"/>
      <c r="G75" s="319"/>
      <c r="H75" s="319"/>
      <c r="I75" s="319"/>
      <c r="J75" s="319"/>
      <c r="K75" s="319"/>
      <c r="L75" s="319"/>
      <c r="M75" s="319"/>
    </row>
    <row r="76" spans="2:13">
      <c r="B76" s="1099" t="s">
        <v>176</v>
      </c>
      <c r="C76" s="1099" t="s">
        <v>244</v>
      </c>
      <c r="D76" s="1099" t="s">
        <v>418</v>
      </c>
      <c r="E76" s="1099" t="s">
        <v>559</v>
      </c>
      <c r="F76" s="1099"/>
      <c r="G76" s="1099"/>
      <c r="H76" s="1099" t="s">
        <v>560</v>
      </c>
      <c r="I76" s="1099"/>
      <c r="J76" s="1099"/>
      <c r="K76" s="1099" t="s">
        <v>561</v>
      </c>
      <c r="L76" s="1099"/>
      <c r="M76" s="1099"/>
    </row>
    <row r="77" spans="2:13" ht="25.5">
      <c r="B77" s="1099"/>
      <c r="C77" s="1099"/>
      <c r="D77" s="1099"/>
      <c r="E77" s="824" t="s">
        <v>419</v>
      </c>
      <c r="F77" s="824" t="s">
        <v>307</v>
      </c>
      <c r="G77" s="824" t="s">
        <v>247</v>
      </c>
      <c r="H77" s="824" t="s">
        <v>419</v>
      </c>
      <c r="I77" s="824" t="s">
        <v>307</v>
      </c>
      <c r="J77" s="824" t="s">
        <v>247</v>
      </c>
      <c r="K77" s="824" t="s">
        <v>419</v>
      </c>
      <c r="L77" s="824" t="s">
        <v>307</v>
      </c>
      <c r="M77" s="824" t="s">
        <v>247</v>
      </c>
    </row>
    <row r="78" spans="2:13" ht="38.25">
      <c r="B78" s="824">
        <v>1</v>
      </c>
      <c r="C78" s="467" t="s">
        <v>625</v>
      </c>
      <c r="D78" s="824" t="s">
        <v>397</v>
      </c>
      <c r="E78" s="824">
        <v>4</v>
      </c>
      <c r="F78" s="476">
        <f>G78/E78</f>
        <v>2625</v>
      </c>
      <c r="G78" s="476">
        <v>10500</v>
      </c>
      <c r="H78" s="824">
        <v>4</v>
      </c>
      <c r="I78" s="476">
        <v>2625</v>
      </c>
      <c r="J78" s="476">
        <v>10500</v>
      </c>
      <c r="K78" s="824">
        <v>4</v>
      </c>
      <c r="L78" s="476">
        <v>2625</v>
      </c>
      <c r="M78" s="476">
        <v>10500</v>
      </c>
    </row>
    <row r="79" spans="2:13" ht="76.5">
      <c r="B79" s="824">
        <v>2</v>
      </c>
      <c r="C79" s="467" t="s">
        <v>626</v>
      </c>
      <c r="D79" s="824" t="s">
        <v>397</v>
      </c>
      <c r="E79" s="824">
        <v>1</v>
      </c>
      <c r="F79" s="476">
        <v>8400</v>
      </c>
      <c r="G79" s="476">
        <f>F79*E79</f>
        <v>8400</v>
      </c>
      <c r="H79" s="824">
        <v>1</v>
      </c>
      <c r="I79" s="476">
        <v>8400</v>
      </c>
      <c r="J79" s="476">
        <v>8400</v>
      </c>
      <c r="K79" s="824">
        <v>1</v>
      </c>
      <c r="L79" s="476">
        <v>8400</v>
      </c>
      <c r="M79" s="476">
        <v>8400</v>
      </c>
    </row>
    <row r="80" spans="2:13">
      <c r="B80" s="824">
        <v>3</v>
      </c>
      <c r="C80" s="467" t="s">
        <v>422</v>
      </c>
      <c r="D80" s="824" t="s">
        <v>397</v>
      </c>
      <c r="E80" s="824">
        <v>12</v>
      </c>
      <c r="F80" s="476">
        <f t="shared" ref="F80" si="16">G80/E80</f>
        <v>5651.88</v>
      </c>
      <c r="G80" s="476">
        <v>67822.570000000007</v>
      </c>
      <c r="H80" s="824">
        <v>12</v>
      </c>
      <c r="I80" s="476">
        <v>5651.88</v>
      </c>
      <c r="J80" s="476">
        <v>67822.570000000007</v>
      </c>
      <c r="K80" s="824">
        <v>12</v>
      </c>
      <c r="L80" s="476">
        <v>5651.88</v>
      </c>
      <c r="M80" s="476">
        <v>67822.570000000007</v>
      </c>
    </row>
    <row r="81" spans="2:15">
      <c r="B81" s="469"/>
      <c r="C81" s="490" t="s">
        <v>254</v>
      </c>
      <c r="D81" s="492" t="s">
        <v>25</v>
      </c>
      <c r="E81" s="492" t="s">
        <v>25</v>
      </c>
      <c r="F81" s="869" t="s">
        <v>25</v>
      </c>
      <c r="G81" s="869">
        <f>SUM(G78:G80)</f>
        <v>86722.57</v>
      </c>
      <c r="H81" s="493" t="s">
        <v>25</v>
      </c>
      <c r="I81" s="866" t="s">
        <v>25</v>
      </c>
      <c r="J81" s="866">
        <f>SUM(J78:J80)</f>
        <v>86722.57</v>
      </c>
      <c r="K81" s="866" t="s">
        <v>25</v>
      </c>
      <c r="L81" s="866" t="s">
        <v>25</v>
      </c>
      <c r="M81" s="866">
        <f>SUM(M78:M80)</f>
        <v>86722.57</v>
      </c>
    </row>
    <row r="82" spans="2:15">
      <c r="B82" s="535"/>
      <c r="C82" s="533"/>
      <c r="D82" s="535"/>
      <c r="E82" s="535"/>
      <c r="F82" s="536"/>
      <c r="G82" s="536"/>
      <c r="H82" s="535"/>
      <c r="I82" s="536"/>
      <c r="J82" s="536"/>
      <c r="K82" s="535"/>
      <c r="L82" s="536"/>
      <c r="M82" s="536"/>
    </row>
    <row r="83" spans="2:15">
      <c r="B83" s="856" t="s">
        <v>240</v>
      </c>
      <c r="C83" s="856"/>
      <c r="D83" s="856"/>
      <c r="E83" s="856"/>
      <c r="F83" s="856"/>
      <c r="G83" s="856"/>
      <c r="H83" s="856"/>
      <c r="I83" s="856"/>
      <c r="J83" s="856"/>
      <c r="K83" s="856"/>
      <c r="L83" s="856"/>
      <c r="M83" s="856"/>
    </row>
    <row r="84" spans="2:15">
      <c r="B84" s="375" t="s">
        <v>241</v>
      </c>
      <c r="C84" s="375"/>
      <c r="D84" s="375"/>
      <c r="E84" s="375"/>
      <c r="F84" s="375"/>
      <c r="G84" s="375"/>
      <c r="H84" s="375"/>
      <c r="I84" s="375"/>
      <c r="J84" s="375"/>
      <c r="K84" s="375"/>
      <c r="L84" s="375"/>
      <c r="M84" s="375"/>
    </row>
    <row r="85" spans="2:15">
      <c r="B85" s="375" t="s">
        <v>929</v>
      </c>
      <c r="C85" s="375"/>
      <c r="D85" s="375"/>
      <c r="E85" s="375"/>
      <c r="F85" s="375"/>
      <c r="G85" s="375"/>
      <c r="H85" s="375"/>
      <c r="I85" s="375"/>
      <c r="J85" s="375"/>
      <c r="K85" s="375"/>
      <c r="L85" s="375"/>
      <c r="M85" s="375"/>
    </row>
    <row r="86" spans="2:15">
      <c r="B86" s="375" t="s">
        <v>935</v>
      </c>
      <c r="C86" s="375"/>
      <c r="D86" s="375"/>
      <c r="E86" s="375"/>
      <c r="F86" s="375"/>
      <c r="G86" s="375"/>
      <c r="H86" s="375"/>
      <c r="I86" s="375"/>
      <c r="J86" s="375"/>
      <c r="K86" s="375"/>
      <c r="L86" s="375"/>
      <c r="M86" s="375"/>
    </row>
    <row r="87" spans="2:15" ht="15" customHeight="1">
      <c r="B87" s="1086" t="s">
        <v>176</v>
      </c>
      <c r="C87" s="1086" t="s">
        <v>244</v>
      </c>
      <c r="D87" s="1086" t="s">
        <v>418</v>
      </c>
      <c r="E87" s="1086" t="s">
        <v>559</v>
      </c>
      <c r="F87" s="1086"/>
      <c r="G87" s="1086"/>
      <c r="H87" s="1086" t="s">
        <v>560</v>
      </c>
      <c r="I87" s="1086"/>
      <c r="J87" s="1086"/>
      <c r="K87" s="1086" t="s">
        <v>561</v>
      </c>
      <c r="L87" s="1086"/>
      <c r="M87" s="1086"/>
    </row>
    <row r="88" spans="2:15" ht="25.5">
      <c r="B88" s="1086"/>
      <c r="C88" s="1086"/>
      <c r="D88" s="1086"/>
      <c r="E88" s="825" t="s">
        <v>419</v>
      </c>
      <c r="F88" s="825" t="s">
        <v>307</v>
      </c>
      <c r="G88" s="825" t="s">
        <v>247</v>
      </c>
      <c r="H88" s="825" t="s">
        <v>419</v>
      </c>
      <c r="I88" s="825" t="s">
        <v>307</v>
      </c>
      <c r="J88" s="825" t="s">
        <v>247</v>
      </c>
      <c r="K88" s="825" t="s">
        <v>419</v>
      </c>
      <c r="L88" s="825" t="s">
        <v>307</v>
      </c>
      <c r="M88" s="825" t="s">
        <v>247</v>
      </c>
    </row>
    <row r="89" spans="2:15" ht="38.25">
      <c r="B89" s="825">
        <v>1</v>
      </c>
      <c r="C89" s="481" t="s">
        <v>936</v>
      </c>
      <c r="D89" s="825" t="s">
        <v>397</v>
      </c>
      <c r="E89" s="825">
        <v>4</v>
      </c>
      <c r="F89" s="482">
        <v>1100</v>
      </c>
      <c r="G89" s="482">
        <f>E89*F89</f>
        <v>4400</v>
      </c>
      <c r="H89" s="825">
        <v>0</v>
      </c>
      <c r="I89" s="482">
        <v>0</v>
      </c>
      <c r="J89" s="482">
        <v>0</v>
      </c>
      <c r="K89" s="825">
        <v>0</v>
      </c>
      <c r="L89" s="482">
        <v>0</v>
      </c>
      <c r="M89" s="482">
        <v>0</v>
      </c>
    </row>
    <row r="90" spans="2:15" ht="38.25">
      <c r="B90" s="825"/>
      <c r="C90" s="481" t="s">
        <v>937</v>
      </c>
      <c r="D90" s="825" t="s">
        <v>397</v>
      </c>
      <c r="E90" s="825">
        <v>6</v>
      </c>
      <c r="F90" s="482">
        <v>1100</v>
      </c>
      <c r="G90" s="482">
        <f>E90*F90</f>
        <v>6600</v>
      </c>
      <c r="H90" s="825">
        <v>0</v>
      </c>
      <c r="I90" s="482">
        <v>0</v>
      </c>
      <c r="J90" s="482">
        <v>0</v>
      </c>
      <c r="K90" s="825">
        <v>0</v>
      </c>
      <c r="L90" s="482">
        <v>0</v>
      </c>
      <c r="M90" s="482">
        <v>0</v>
      </c>
    </row>
    <row r="91" spans="2:15">
      <c r="B91" s="857"/>
      <c r="C91" s="858" t="s">
        <v>254</v>
      </c>
      <c r="D91" s="870" t="s">
        <v>25</v>
      </c>
      <c r="E91" s="870" t="s">
        <v>25</v>
      </c>
      <c r="F91" s="871" t="s">
        <v>25</v>
      </c>
      <c r="G91" s="871">
        <f>SUM(G89:G90)</f>
        <v>11000</v>
      </c>
      <c r="H91" s="872" t="s">
        <v>25</v>
      </c>
      <c r="I91" s="859" t="s">
        <v>25</v>
      </c>
      <c r="J91" s="859">
        <f>SUM(J89:J89)</f>
        <v>0</v>
      </c>
      <c r="K91" s="859" t="s">
        <v>25</v>
      </c>
      <c r="L91" s="859" t="s">
        <v>25</v>
      </c>
      <c r="M91" s="859">
        <f>SUM(M89:M89)</f>
        <v>0</v>
      </c>
    </row>
    <row r="92" spans="2:15">
      <c r="B92" s="535"/>
      <c r="C92" s="533"/>
      <c r="D92" s="535"/>
      <c r="E92" s="535"/>
      <c r="F92" s="536"/>
      <c r="G92" s="536"/>
      <c r="H92" s="535"/>
      <c r="I92" s="536"/>
      <c r="J92" s="536"/>
      <c r="K92" s="535"/>
      <c r="L92" s="536"/>
      <c r="M92" s="536"/>
    </row>
    <row r="93" spans="2:15" s="539" customFormat="1">
      <c r="B93" s="539" t="s">
        <v>235</v>
      </c>
      <c r="C93" s="846"/>
      <c r="D93" s="847"/>
      <c r="E93" s="847"/>
      <c r="F93" s="848"/>
      <c r="G93" s="848"/>
      <c r="H93" s="847"/>
      <c r="I93" s="848"/>
      <c r="J93" s="848"/>
      <c r="K93" s="847"/>
      <c r="L93" s="848"/>
      <c r="M93" s="848"/>
      <c r="N93" s="374"/>
      <c r="O93" s="374"/>
    </row>
    <row r="94" spans="2:15">
      <c r="B94" s="374" t="s">
        <v>236</v>
      </c>
      <c r="C94" s="533"/>
      <c r="D94" s="535"/>
      <c r="E94" s="535"/>
      <c r="F94" s="536"/>
      <c r="G94" s="536"/>
      <c r="H94" s="535"/>
      <c r="I94" s="536"/>
      <c r="J94" s="536"/>
      <c r="K94" s="535"/>
      <c r="L94" s="536"/>
      <c r="M94" s="536"/>
    </row>
    <row r="95" spans="2:15">
      <c r="B95" s="374" t="s">
        <v>856</v>
      </c>
      <c r="C95" s="533"/>
      <c r="D95" s="535"/>
      <c r="E95" s="535"/>
      <c r="F95" s="536"/>
      <c r="G95" s="536"/>
      <c r="H95" s="535"/>
      <c r="I95" s="536"/>
      <c r="J95" s="536"/>
      <c r="K95" s="535"/>
      <c r="L95" s="536"/>
      <c r="M95" s="536"/>
    </row>
    <row r="96" spans="2:15">
      <c r="B96" s="583" t="s">
        <v>925</v>
      </c>
      <c r="C96" s="533"/>
      <c r="D96" s="535"/>
      <c r="E96" s="535"/>
      <c r="F96" s="536"/>
      <c r="G96" s="536"/>
      <c r="H96" s="535"/>
      <c r="I96" s="536"/>
      <c r="J96" s="536"/>
      <c r="K96" s="535"/>
      <c r="L96" s="536"/>
      <c r="M96" s="536"/>
    </row>
    <row r="97" spans="2:15">
      <c r="B97" s="1065" t="s">
        <v>176</v>
      </c>
      <c r="C97" s="1065" t="s">
        <v>244</v>
      </c>
      <c r="D97" s="1065" t="s">
        <v>418</v>
      </c>
      <c r="E97" s="1065" t="s">
        <v>559</v>
      </c>
      <c r="F97" s="1065"/>
      <c r="G97" s="1065"/>
      <c r="H97" s="1065" t="s">
        <v>560</v>
      </c>
      <c r="I97" s="1065"/>
      <c r="J97" s="1065"/>
      <c r="K97" s="1065" t="s">
        <v>561</v>
      </c>
      <c r="L97" s="1065"/>
      <c r="M97" s="1065"/>
    </row>
    <row r="98" spans="2:15">
      <c r="B98" s="1065"/>
      <c r="C98" s="1065"/>
      <c r="D98" s="1065"/>
      <c r="E98" s="1065" t="s">
        <v>419</v>
      </c>
      <c r="F98" s="1104" t="s">
        <v>433</v>
      </c>
      <c r="G98" s="1104" t="s">
        <v>247</v>
      </c>
      <c r="H98" s="1104" t="s">
        <v>419</v>
      </c>
      <c r="I98" s="1065" t="s">
        <v>433</v>
      </c>
      <c r="J98" s="1065" t="s">
        <v>247</v>
      </c>
      <c r="K98" s="1065" t="s">
        <v>419</v>
      </c>
      <c r="L98" s="1065" t="s">
        <v>433</v>
      </c>
      <c r="M98" s="1065" t="s">
        <v>247</v>
      </c>
    </row>
    <row r="99" spans="2:15" ht="17.25" customHeight="1">
      <c r="B99" s="1065"/>
      <c r="C99" s="1065"/>
      <c r="D99" s="1065"/>
      <c r="E99" s="1065"/>
      <c r="F99" s="1104"/>
      <c r="G99" s="1104"/>
      <c r="H99" s="1104"/>
      <c r="I99" s="1065"/>
      <c r="J99" s="1065"/>
      <c r="K99" s="1065"/>
      <c r="L99" s="1065"/>
      <c r="M99" s="1065"/>
    </row>
    <row r="100" spans="2:15" ht="49.5" customHeight="1">
      <c r="B100" s="814">
        <v>1</v>
      </c>
      <c r="C100" s="815" t="s">
        <v>621</v>
      </c>
      <c r="D100" s="814" t="s">
        <v>397</v>
      </c>
      <c r="E100" s="814">
        <v>22</v>
      </c>
      <c r="F100" s="284">
        <f>G100/E100</f>
        <v>91605.28</v>
      </c>
      <c r="G100" s="284">
        <f>2175316.06-160000</f>
        <v>2015316.06</v>
      </c>
      <c r="H100" s="816">
        <v>20</v>
      </c>
      <c r="I100" s="88">
        <f>J100/H100</f>
        <v>108439.37</v>
      </c>
      <c r="J100" s="88">
        <v>2168787.38</v>
      </c>
      <c r="K100" s="814">
        <v>20</v>
      </c>
      <c r="L100" s="88">
        <f>M100/K100</f>
        <v>114725.14</v>
      </c>
      <c r="M100" s="88">
        <v>2294502.7799999998</v>
      </c>
    </row>
    <row r="101" spans="2:15">
      <c r="B101" s="595"/>
      <c r="C101" s="616" t="s">
        <v>254</v>
      </c>
      <c r="D101" s="612" t="s">
        <v>25</v>
      </c>
      <c r="E101" s="840" t="s">
        <v>25</v>
      </c>
      <c r="F101" s="842" t="s">
        <v>25</v>
      </c>
      <c r="G101" s="284">
        <f>SUM(G100)</f>
        <v>2015316.06</v>
      </c>
      <c r="H101" s="842" t="s">
        <v>25</v>
      </c>
      <c r="I101" s="840" t="s">
        <v>25</v>
      </c>
      <c r="J101" s="88">
        <f>SUM(J100)</f>
        <v>2168787.38</v>
      </c>
      <c r="K101" s="840" t="s">
        <v>25</v>
      </c>
      <c r="L101" s="840" t="s">
        <v>25</v>
      </c>
      <c r="M101" s="88">
        <f>SUM(M100)</f>
        <v>2294502.7799999998</v>
      </c>
      <c r="O101" s="849"/>
    </row>
    <row r="102" spans="2:15">
      <c r="B102" s="583"/>
      <c r="C102" s="800"/>
      <c r="G102" s="536"/>
      <c r="J102" s="536"/>
      <c r="K102" s="536"/>
      <c r="L102" s="536"/>
      <c r="M102" s="536"/>
      <c r="O102" s="849"/>
    </row>
    <row r="103" spans="2:15">
      <c r="B103" s="535"/>
      <c r="C103" s="533"/>
      <c r="D103" s="535"/>
      <c r="E103" s="535"/>
      <c r="F103" s="536"/>
      <c r="G103" s="536"/>
      <c r="H103" s="535"/>
      <c r="I103" s="536"/>
      <c r="J103" s="536"/>
      <c r="K103" s="535"/>
      <c r="L103" s="536"/>
      <c r="M103" s="536"/>
    </row>
    <row r="104" spans="2:15">
      <c r="B104" s="583"/>
      <c r="C104" s="800"/>
      <c r="G104" s="536"/>
      <c r="J104" s="536"/>
      <c r="K104" s="536"/>
      <c r="L104" s="536"/>
      <c r="M104" s="536"/>
      <c r="O104" s="849"/>
    </row>
    <row r="105" spans="2:15" hidden="1">
      <c r="B105" s="543" t="s">
        <v>240</v>
      </c>
      <c r="C105" s="543"/>
      <c r="D105" s="543"/>
      <c r="E105" s="543"/>
      <c r="F105" s="543"/>
      <c r="G105" s="543"/>
      <c r="H105" s="543"/>
      <c r="I105" s="543"/>
      <c r="J105" s="543"/>
      <c r="K105" s="543"/>
      <c r="L105" s="543"/>
      <c r="M105" s="543"/>
    </row>
    <row r="106" spans="2:15" hidden="1">
      <c r="B106" s="374" t="s">
        <v>241</v>
      </c>
    </row>
    <row r="107" spans="2:15" hidden="1">
      <c r="B107" s="374" t="s">
        <v>410</v>
      </c>
    </row>
    <row r="108" spans="2:15" hidden="1">
      <c r="B108" s="1065" t="s">
        <v>176</v>
      </c>
      <c r="C108" s="1065" t="s">
        <v>244</v>
      </c>
      <c r="D108" s="1065" t="s">
        <v>418</v>
      </c>
      <c r="E108" s="1065" t="s">
        <v>213</v>
      </c>
      <c r="F108" s="1065"/>
      <c r="G108" s="1065"/>
      <c r="H108" s="1065" t="s">
        <v>214</v>
      </c>
      <c r="I108" s="1065"/>
      <c r="J108" s="1065"/>
      <c r="K108" s="1065" t="s">
        <v>215</v>
      </c>
      <c r="L108" s="1065"/>
      <c r="M108" s="1065"/>
    </row>
    <row r="109" spans="2:15" ht="25.5" hidden="1">
      <c r="B109" s="1065"/>
      <c r="C109" s="1065"/>
      <c r="D109" s="1065"/>
      <c r="E109" s="814" t="s">
        <v>419</v>
      </c>
      <c r="F109" s="814" t="s">
        <v>307</v>
      </c>
      <c r="G109" s="814" t="s">
        <v>247</v>
      </c>
      <c r="H109" s="814" t="s">
        <v>419</v>
      </c>
      <c r="I109" s="814" t="s">
        <v>307</v>
      </c>
      <c r="J109" s="814" t="s">
        <v>247</v>
      </c>
      <c r="K109" s="814" t="s">
        <v>419</v>
      </c>
      <c r="L109" s="814" t="s">
        <v>307</v>
      </c>
      <c r="M109" s="814" t="s">
        <v>247</v>
      </c>
    </row>
    <row r="110" spans="2:15" ht="38.25" hidden="1">
      <c r="B110" s="816">
        <v>1</v>
      </c>
      <c r="C110" s="287" t="s">
        <v>622</v>
      </c>
      <c r="D110" s="816" t="s">
        <v>397</v>
      </c>
      <c r="E110" s="816">
        <v>0</v>
      </c>
      <c r="F110" s="284">
        <v>0</v>
      </c>
      <c r="G110" s="284">
        <v>0</v>
      </c>
      <c r="H110" s="816">
        <v>8</v>
      </c>
      <c r="I110" s="88">
        <f>J110/H110</f>
        <v>52323.75</v>
      </c>
      <c r="J110" s="88">
        <v>418590</v>
      </c>
      <c r="K110" s="814">
        <v>8</v>
      </c>
      <c r="L110" s="88">
        <f>M110/K110</f>
        <v>52323.75</v>
      </c>
      <c r="M110" s="88">
        <v>418590</v>
      </c>
    </row>
    <row r="111" spans="2:15" ht="38.25" hidden="1">
      <c r="B111" s="814">
        <v>2</v>
      </c>
      <c r="C111" s="815" t="s">
        <v>623</v>
      </c>
      <c r="D111" s="814" t="s">
        <v>397</v>
      </c>
      <c r="E111" s="814">
        <v>8</v>
      </c>
      <c r="F111" s="88">
        <f>G111/E111</f>
        <v>2206.91</v>
      </c>
      <c r="G111" s="88">
        <v>17655.259999999998</v>
      </c>
      <c r="H111" s="814">
        <v>8</v>
      </c>
      <c r="I111" s="88">
        <f>J111/H111</f>
        <v>2206.91</v>
      </c>
      <c r="J111" s="88">
        <v>17655.259999999998</v>
      </c>
      <c r="K111" s="814">
        <v>8</v>
      </c>
      <c r="L111" s="88">
        <f>M111/K111</f>
        <v>2206.91</v>
      </c>
      <c r="M111" s="88">
        <v>17655.259999999998</v>
      </c>
    </row>
    <row r="112" spans="2:15" ht="51" hidden="1">
      <c r="B112" s="814">
        <v>3</v>
      </c>
      <c r="C112" s="815" t="s">
        <v>624</v>
      </c>
      <c r="D112" s="814" t="s">
        <v>397</v>
      </c>
      <c r="E112" s="814">
        <v>0</v>
      </c>
      <c r="F112" s="88">
        <v>0</v>
      </c>
      <c r="G112" s="88">
        <v>0</v>
      </c>
      <c r="H112" s="814">
        <v>10</v>
      </c>
      <c r="I112" s="88">
        <f>J112/H112</f>
        <v>7678.82</v>
      </c>
      <c r="J112" s="88">
        <v>76788.2</v>
      </c>
      <c r="K112" s="814">
        <v>10</v>
      </c>
      <c r="L112" s="88">
        <f>M112/K112</f>
        <v>7678.82</v>
      </c>
      <c r="M112" s="88">
        <v>76788.2</v>
      </c>
    </row>
    <row r="113" spans="2:13" ht="51" hidden="1">
      <c r="B113" s="814">
        <v>4</v>
      </c>
      <c r="C113" s="815" t="s">
        <v>643</v>
      </c>
      <c r="D113" s="814" t="s">
        <v>397</v>
      </c>
      <c r="E113" s="814">
        <f>100+10</f>
        <v>110</v>
      </c>
      <c r="F113" s="88">
        <f>G113/E113</f>
        <v>4145.21</v>
      </c>
      <c r="G113" s="839">
        <f>615839.48-60000+70438.2-170304.12</f>
        <v>455973.56</v>
      </c>
      <c r="H113" s="814">
        <v>200</v>
      </c>
      <c r="I113" s="88">
        <f>J113/H113</f>
        <v>6441.18</v>
      </c>
      <c r="J113" s="88">
        <v>1288235.02</v>
      </c>
      <c r="K113" s="814">
        <v>200</v>
      </c>
      <c r="L113" s="88">
        <f>M113/K113</f>
        <v>6449.41</v>
      </c>
      <c r="M113" s="88">
        <v>1289881.1299999999</v>
      </c>
    </row>
    <row r="114" spans="2:13" ht="38.25" hidden="1">
      <c r="B114" s="814">
        <v>5</v>
      </c>
      <c r="C114" s="815" t="s">
        <v>625</v>
      </c>
      <c r="D114" s="814" t="s">
        <v>397</v>
      </c>
      <c r="E114" s="814">
        <v>4</v>
      </c>
      <c r="F114" s="88">
        <f>G114/E114</f>
        <v>3150</v>
      </c>
      <c r="G114" s="88">
        <v>12600</v>
      </c>
      <c r="H114" s="814">
        <v>0</v>
      </c>
      <c r="I114" s="88">
        <v>0</v>
      </c>
      <c r="J114" s="88">
        <v>0</v>
      </c>
      <c r="K114" s="814">
        <v>0</v>
      </c>
      <c r="L114" s="88">
        <v>0</v>
      </c>
      <c r="M114" s="88">
        <v>0</v>
      </c>
    </row>
    <row r="115" spans="2:13" ht="76.5" hidden="1">
      <c r="B115" s="814">
        <v>6</v>
      </c>
      <c r="C115" s="815" t="s">
        <v>626</v>
      </c>
      <c r="D115" s="814" t="s">
        <v>397</v>
      </c>
      <c r="E115" s="814">
        <v>1</v>
      </c>
      <c r="F115" s="88">
        <v>8400</v>
      </c>
      <c r="G115" s="88">
        <f>F115*E115</f>
        <v>8400</v>
      </c>
      <c r="H115" s="814">
        <v>0</v>
      </c>
      <c r="I115" s="88">
        <v>0</v>
      </c>
      <c r="J115" s="88">
        <v>0</v>
      </c>
      <c r="K115" s="814">
        <v>0</v>
      </c>
      <c r="L115" s="88">
        <v>0</v>
      </c>
      <c r="M115" s="88">
        <v>0</v>
      </c>
    </row>
    <row r="116" spans="2:13" ht="38.25" hidden="1">
      <c r="B116" s="814">
        <v>7</v>
      </c>
      <c r="C116" s="815" t="s">
        <v>486</v>
      </c>
      <c r="D116" s="814" t="s">
        <v>397</v>
      </c>
      <c r="E116" s="814">
        <v>1</v>
      </c>
      <c r="F116" s="88">
        <v>99000</v>
      </c>
      <c r="G116" s="88">
        <f>F116*E116</f>
        <v>99000</v>
      </c>
      <c r="H116" s="814">
        <v>0</v>
      </c>
      <c r="I116" s="88">
        <v>0</v>
      </c>
      <c r="J116" s="88">
        <v>0</v>
      </c>
      <c r="K116" s="814">
        <v>0</v>
      </c>
      <c r="L116" s="88">
        <v>0</v>
      </c>
      <c r="M116" s="88">
        <v>0</v>
      </c>
    </row>
    <row r="117" spans="2:13" ht="51" hidden="1">
      <c r="B117" s="814">
        <v>8</v>
      </c>
      <c r="C117" s="815" t="s">
        <v>627</v>
      </c>
      <c r="D117" s="814" t="s">
        <v>397</v>
      </c>
      <c r="E117" s="814">
        <v>2</v>
      </c>
      <c r="F117" s="88">
        <f>G117/E117</f>
        <v>2600</v>
      </c>
      <c r="G117" s="88">
        <v>5200</v>
      </c>
      <c r="H117" s="814">
        <v>0</v>
      </c>
      <c r="I117" s="88">
        <v>0</v>
      </c>
      <c r="J117" s="88">
        <v>0</v>
      </c>
      <c r="K117" s="814">
        <v>0</v>
      </c>
      <c r="L117" s="88">
        <v>0</v>
      </c>
      <c r="M117" s="88">
        <v>0</v>
      </c>
    </row>
    <row r="118" spans="2:13" ht="51" hidden="1">
      <c r="B118" s="814">
        <v>9</v>
      </c>
      <c r="C118" s="815" t="s">
        <v>628</v>
      </c>
      <c r="D118" s="814" t="s">
        <v>397</v>
      </c>
      <c r="E118" s="814">
        <v>1</v>
      </c>
      <c r="F118" s="88">
        <v>10560</v>
      </c>
      <c r="G118" s="88">
        <f>E118*F118</f>
        <v>10560</v>
      </c>
      <c r="H118" s="814">
        <v>0</v>
      </c>
      <c r="I118" s="88">
        <v>0</v>
      </c>
      <c r="J118" s="88">
        <v>0</v>
      </c>
      <c r="K118" s="814">
        <v>0</v>
      </c>
      <c r="L118" s="88">
        <v>0</v>
      </c>
      <c r="M118" s="88">
        <v>0</v>
      </c>
    </row>
    <row r="119" spans="2:13" ht="38.25" hidden="1">
      <c r="B119" s="814">
        <v>10</v>
      </c>
      <c r="C119" s="815" t="s">
        <v>485</v>
      </c>
      <c r="D119" s="814" t="s">
        <v>397</v>
      </c>
      <c r="E119" s="814">
        <v>1</v>
      </c>
      <c r="F119" s="88">
        <v>19200</v>
      </c>
      <c r="G119" s="88">
        <f>E119*F119</f>
        <v>19200</v>
      </c>
      <c r="H119" s="814">
        <v>0</v>
      </c>
      <c r="I119" s="88">
        <v>0</v>
      </c>
      <c r="J119" s="88">
        <v>0</v>
      </c>
      <c r="K119" s="814">
        <v>0</v>
      </c>
      <c r="L119" s="88">
        <v>0</v>
      </c>
      <c r="M119" s="88">
        <v>0</v>
      </c>
    </row>
    <row r="120" spans="2:13" ht="51" hidden="1">
      <c r="B120" s="814">
        <v>11</v>
      </c>
      <c r="C120" s="815" t="s">
        <v>629</v>
      </c>
      <c r="D120" s="814" t="s">
        <v>397</v>
      </c>
      <c r="E120" s="814">
        <v>1</v>
      </c>
      <c r="F120" s="88">
        <f>G120/E120</f>
        <v>25000</v>
      </c>
      <c r="G120" s="88">
        <v>25000</v>
      </c>
      <c r="H120" s="814">
        <v>0</v>
      </c>
      <c r="I120" s="88">
        <v>0</v>
      </c>
      <c r="J120" s="88">
        <v>0</v>
      </c>
      <c r="K120" s="814">
        <v>0</v>
      </c>
      <c r="L120" s="88">
        <v>0</v>
      </c>
      <c r="M120" s="88">
        <v>0</v>
      </c>
    </row>
    <row r="121" spans="2:13" ht="89.25" hidden="1">
      <c r="B121" s="814">
        <v>12</v>
      </c>
      <c r="C121" s="815" t="s">
        <v>630</v>
      </c>
      <c r="D121" s="814" t="s">
        <v>397</v>
      </c>
      <c r="E121" s="814">
        <v>1</v>
      </c>
      <c r="F121" s="88">
        <f>G121/E121</f>
        <v>24900</v>
      </c>
      <c r="G121" s="88">
        <v>24900</v>
      </c>
      <c r="H121" s="814">
        <v>0</v>
      </c>
      <c r="I121" s="88">
        <v>0</v>
      </c>
      <c r="J121" s="88">
        <v>0</v>
      </c>
      <c r="K121" s="814">
        <v>0</v>
      </c>
      <c r="L121" s="88">
        <v>0</v>
      </c>
      <c r="M121" s="88">
        <v>0</v>
      </c>
    </row>
    <row r="122" spans="2:13" ht="25.5" hidden="1">
      <c r="B122" s="814">
        <v>13</v>
      </c>
      <c r="C122" s="815" t="s">
        <v>631</v>
      </c>
      <c r="D122" s="814" t="s">
        <v>397</v>
      </c>
      <c r="E122" s="814">
        <v>1</v>
      </c>
      <c r="F122" s="88">
        <v>622720</v>
      </c>
      <c r="G122" s="88">
        <f>E122*F122-482098.16</f>
        <v>140621.84</v>
      </c>
      <c r="H122" s="814">
        <v>1</v>
      </c>
      <c r="I122" s="88">
        <v>622720</v>
      </c>
      <c r="J122" s="88">
        <f>H122*I122</f>
        <v>622720</v>
      </c>
      <c r="K122" s="814">
        <v>1</v>
      </c>
      <c r="L122" s="88">
        <v>622720</v>
      </c>
      <c r="M122" s="88">
        <f>K122*L122</f>
        <v>622720</v>
      </c>
    </row>
    <row r="123" spans="2:13" ht="51" hidden="1">
      <c r="B123" s="814">
        <v>14</v>
      </c>
      <c r="C123" s="815" t="s">
        <v>632</v>
      </c>
      <c r="D123" s="814" t="s">
        <v>397</v>
      </c>
      <c r="E123" s="814">
        <v>16</v>
      </c>
      <c r="F123" s="88">
        <f>G123/E123</f>
        <v>10825</v>
      </c>
      <c r="G123" s="88">
        <f>138200+35000</f>
        <v>173200</v>
      </c>
      <c r="H123" s="814">
        <v>16</v>
      </c>
      <c r="I123" s="88">
        <f>J123/H123</f>
        <v>8637.5</v>
      </c>
      <c r="J123" s="88">
        <v>138200</v>
      </c>
      <c r="K123" s="814">
        <v>16</v>
      </c>
      <c r="L123" s="88">
        <f>M123/K123</f>
        <v>8637.5</v>
      </c>
      <c r="M123" s="88">
        <v>138200</v>
      </c>
    </row>
    <row r="124" spans="2:13" ht="76.5" hidden="1">
      <c r="B124" s="814">
        <v>15</v>
      </c>
      <c r="C124" s="815" t="s">
        <v>633</v>
      </c>
      <c r="D124" s="814" t="s">
        <v>397</v>
      </c>
      <c r="E124" s="814">
        <v>1</v>
      </c>
      <c r="F124" s="88">
        <v>60000</v>
      </c>
      <c r="G124" s="88">
        <v>60000</v>
      </c>
      <c r="H124" s="814">
        <v>0</v>
      </c>
      <c r="I124" s="88">
        <v>0</v>
      </c>
      <c r="J124" s="88">
        <v>0</v>
      </c>
      <c r="K124" s="814">
        <v>0</v>
      </c>
      <c r="L124" s="88">
        <v>0</v>
      </c>
      <c r="M124" s="88">
        <v>0</v>
      </c>
    </row>
    <row r="125" spans="2:13" ht="38.25" hidden="1">
      <c r="B125" s="814">
        <v>16</v>
      </c>
      <c r="C125" s="815" t="s">
        <v>634</v>
      </c>
      <c r="D125" s="814" t="s">
        <v>397</v>
      </c>
      <c r="E125" s="814">
        <v>12</v>
      </c>
      <c r="F125" s="88">
        <v>10000</v>
      </c>
      <c r="G125" s="88">
        <v>156000</v>
      </c>
      <c r="H125" s="814">
        <v>12</v>
      </c>
      <c r="I125" s="88">
        <v>10000</v>
      </c>
      <c r="J125" s="88">
        <v>100700.4</v>
      </c>
      <c r="K125" s="814">
        <v>12</v>
      </c>
      <c r="L125" s="88">
        <v>10000</v>
      </c>
      <c r="M125" s="88">
        <v>111183.88</v>
      </c>
    </row>
    <row r="126" spans="2:13" ht="51" hidden="1">
      <c r="B126" s="814">
        <v>17</v>
      </c>
      <c r="C126" s="815" t="s">
        <v>635</v>
      </c>
      <c r="D126" s="814" t="s">
        <v>397</v>
      </c>
      <c r="E126" s="814">
        <v>1</v>
      </c>
      <c r="F126" s="88">
        <f t="shared" ref="F126:F128" si="17">G126/E126</f>
        <v>11699</v>
      </c>
      <c r="G126" s="88">
        <v>11699</v>
      </c>
      <c r="H126" s="814">
        <v>0</v>
      </c>
      <c r="I126" s="88">
        <v>0</v>
      </c>
      <c r="J126" s="88">
        <v>0</v>
      </c>
      <c r="K126" s="814">
        <v>0</v>
      </c>
      <c r="L126" s="88">
        <v>0</v>
      </c>
      <c r="M126" s="88">
        <v>0</v>
      </c>
    </row>
    <row r="127" spans="2:13" ht="51" hidden="1">
      <c r="B127" s="814">
        <v>18</v>
      </c>
      <c r="C127" s="815" t="s">
        <v>541</v>
      </c>
      <c r="D127" s="814" t="s">
        <v>397</v>
      </c>
      <c r="E127" s="814">
        <v>1</v>
      </c>
      <c r="F127" s="88">
        <f t="shared" si="17"/>
        <v>6350</v>
      </c>
      <c r="G127" s="88">
        <v>6350</v>
      </c>
      <c r="H127" s="814">
        <v>0</v>
      </c>
      <c r="I127" s="88">
        <v>0</v>
      </c>
      <c r="J127" s="88">
        <v>0</v>
      </c>
      <c r="K127" s="814">
        <v>0</v>
      </c>
      <c r="L127" s="88">
        <v>0</v>
      </c>
      <c r="M127" s="88">
        <v>0</v>
      </c>
    </row>
    <row r="128" spans="2:13" ht="51" hidden="1">
      <c r="B128" s="814">
        <v>19</v>
      </c>
      <c r="C128" s="815" t="s">
        <v>636</v>
      </c>
      <c r="D128" s="814" t="s">
        <v>397</v>
      </c>
      <c r="E128" s="814">
        <v>1</v>
      </c>
      <c r="F128" s="284">
        <f t="shared" si="17"/>
        <v>0</v>
      </c>
      <c r="G128" s="284">
        <v>0</v>
      </c>
      <c r="H128" s="816">
        <v>0</v>
      </c>
      <c r="I128" s="88">
        <v>0</v>
      </c>
      <c r="J128" s="88">
        <v>0</v>
      </c>
      <c r="K128" s="814">
        <v>0</v>
      </c>
      <c r="L128" s="88">
        <v>0</v>
      </c>
      <c r="M128" s="88">
        <v>0</v>
      </c>
    </row>
    <row r="129" spans="2:17" s="850" customFormat="1" ht="20.25" hidden="1">
      <c r="B129" s="595"/>
      <c r="C129" s="616" t="s">
        <v>254</v>
      </c>
      <c r="D129" s="840" t="s">
        <v>25</v>
      </c>
      <c r="E129" s="840" t="s">
        <v>25</v>
      </c>
      <c r="F129" s="841" t="s">
        <v>25</v>
      </c>
      <c r="G129" s="841">
        <f>G110+G111+G112+G113+G114+G115+G116+G117+G118+G119+G120+G121+G122+G123+G124+G125+G126+G127+G128</f>
        <v>1226359.6599999999</v>
      </c>
      <c r="H129" s="842" t="s">
        <v>25</v>
      </c>
      <c r="I129" s="833" t="s">
        <v>25</v>
      </c>
      <c r="J129" s="833">
        <f>SUM(J110:J128)</f>
        <v>2662888.88</v>
      </c>
      <c r="K129" s="833" t="s">
        <v>25</v>
      </c>
      <c r="L129" s="833" t="s">
        <v>25</v>
      </c>
      <c r="M129" s="833">
        <f>SUM(M110:M128)</f>
        <v>2675018.4700000002</v>
      </c>
    </row>
    <row r="130" spans="2:17" hidden="1"/>
    <row r="131" spans="2:17" hidden="1">
      <c r="B131" s="545" t="s">
        <v>243</v>
      </c>
      <c r="C131" s="545"/>
      <c r="D131" s="545"/>
      <c r="E131" s="545"/>
      <c r="F131" s="545"/>
      <c r="G131" s="545"/>
      <c r="H131" s="545"/>
      <c r="I131" s="545"/>
      <c r="J131" s="545"/>
      <c r="K131" s="545"/>
      <c r="L131" s="545"/>
      <c r="M131" s="545"/>
    </row>
    <row r="132" spans="2:17" hidden="1">
      <c r="B132" s="374" t="s">
        <v>239</v>
      </c>
    </row>
    <row r="133" spans="2:17" hidden="1">
      <c r="B133" s="374" t="s">
        <v>435</v>
      </c>
    </row>
    <row r="134" spans="2:17" s="539" customFormat="1" hidden="1">
      <c r="B134" s="583" t="s">
        <v>436</v>
      </c>
      <c r="C134" s="851"/>
      <c r="D134" s="851"/>
      <c r="E134" s="851"/>
      <c r="F134" s="851"/>
      <c r="G134" s="851"/>
      <c r="H134" s="851"/>
      <c r="I134" s="851"/>
      <c r="J134" s="851"/>
      <c r="K134" s="851"/>
      <c r="L134" s="851"/>
      <c r="M134" s="851"/>
      <c r="N134" s="374"/>
      <c r="O134" s="374"/>
    </row>
    <row r="135" spans="2:17" hidden="1">
      <c r="B135" s="1065" t="s">
        <v>176</v>
      </c>
      <c r="C135" s="1065" t="s">
        <v>244</v>
      </c>
      <c r="D135" s="1065" t="s">
        <v>418</v>
      </c>
      <c r="E135" s="1065" t="s">
        <v>213</v>
      </c>
      <c r="F135" s="1065"/>
      <c r="G135" s="1065"/>
      <c r="H135" s="1065" t="s">
        <v>214</v>
      </c>
      <c r="I135" s="1065"/>
      <c r="J135" s="1065"/>
      <c r="K135" s="1065" t="s">
        <v>215</v>
      </c>
      <c r="L135" s="1065"/>
      <c r="M135" s="1065"/>
    </row>
    <row r="136" spans="2:17" hidden="1">
      <c r="B136" s="1065"/>
      <c r="C136" s="1065"/>
      <c r="D136" s="1065"/>
      <c r="E136" s="1065" t="s">
        <v>419</v>
      </c>
      <c r="F136" s="1065" t="s">
        <v>307</v>
      </c>
      <c r="G136" s="1065" t="s">
        <v>247</v>
      </c>
      <c r="H136" s="1065" t="s">
        <v>419</v>
      </c>
      <c r="I136" s="814" t="s">
        <v>366</v>
      </c>
      <c r="J136" s="1065" t="s">
        <v>247</v>
      </c>
      <c r="K136" s="1065" t="s">
        <v>419</v>
      </c>
      <c r="L136" s="814" t="s">
        <v>366</v>
      </c>
      <c r="M136" s="1065" t="s">
        <v>247</v>
      </c>
    </row>
    <row r="137" spans="2:17" hidden="1">
      <c r="B137" s="1065"/>
      <c r="C137" s="1065"/>
      <c r="D137" s="1065"/>
      <c r="E137" s="1065"/>
      <c r="F137" s="1065"/>
      <c r="G137" s="1065"/>
      <c r="H137" s="1065"/>
      <c r="I137" s="814" t="s">
        <v>434</v>
      </c>
      <c r="J137" s="1065"/>
      <c r="K137" s="1065"/>
      <c r="L137" s="814" t="s">
        <v>434</v>
      </c>
      <c r="M137" s="1065"/>
    </row>
    <row r="138" spans="2:17" ht="25.5" hidden="1">
      <c r="B138" s="814">
        <v>1</v>
      </c>
      <c r="C138" s="815" t="s">
        <v>437</v>
      </c>
      <c r="D138" s="814" t="s">
        <v>397</v>
      </c>
      <c r="E138" s="814">
        <v>1</v>
      </c>
      <c r="F138" s="852">
        <v>52833.25</v>
      </c>
      <c r="G138" s="852">
        <v>0</v>
      </c>
      <c r="H138" s="714">
        <v>0</v>
      </c>
      <c r="I138" s="714">
        <v>0</v>
      </c>
      <c r="J138" s="714">
        <v>0</v>
      </c>
      <c r="K138" s="714">
        <v>0</v>
      </c>
      <c r="L138" s="714">
        <v>0</v>
      </c>
      <c r="M138" s="714">
        <v>0</v>
      </c>
    </row>
    <row r="139" spans="2:17" hidden="1">
      <c r="B139" s="595"/>
      <c r="C139" s="616" t="s">
        <v>254</v>
      </c>
      <c r="D139" s="612" t="s">
        <v>25</v>
      </c>
      <c r="E139" s="853">
        <f>SUM(E138)</f>
        <v>1</v>
      </c>
      <c r="F139" s="852">
        <f>SUM(F138)</f>
        <v>52833.25</v>
      </c>
      <c r="G139" s="852">
        <f>SUM(G138)</f>
        <v>0</v>
      </c>
      <c r="H139" s="714">
        <v>0</v>
      </c>
      <c r="I139" s="714">
        <v>0</v>
      </c>
      <c r="J139" s="714">
        <v>0</v>
      </c>
      <c r="K139" s="714">
        <v>0</v>
      </c>
      <c r="L139" s="714">
        <v>0</v>
      </c>
      <c r="M139" s="714">
        <v>0</v>
      </c>
    </row>
    <row r="140" spans="2:17" hidden="1">
      <c r="Q140" s="374" t="s">
        <v>438</v>
      </c>
    </row>
    <row r="141" spans="2:17" ht="15.75" hidden="1">
      <c r="B141" s="586" t="s">
        <v>439</v>
      </c>
    </row>
    <row r="142" spans="2:17" hidden="1">
      <c r="B142" s="374" t="s">
        <v>288</v>
      </c>
    </row>
    <row r="143" spans="2:17" hidden="1">
      <c r="B143" s="583" t="s">
        <v>289</v>
      </c>
    </row>
    <row r="144" spans="2:17" hidden="1">
      <c r="B144" s="1065" t="s">
        <v>176</v>
      </c>
      <c r="C144" s="1065" t="s">
        <v>244</v>
      </c>
      <c r="D144" s="1065" t="s">
        <v>440</v>
      </c>
      <c r="E144" s="1065" t="s">
        <v>274</v>
      </c>
      <c r="F144" s="1065"/>
      <c r="G144" s="1065"/>
      <c r="H144" s="1065" t="s">
        <v>275</v>
      </c>
      <c r="I144" s="1065"/>
      <c r="J144" s="1065"/>
      <c r="K144" s="1065" t="s">
        <v>276</v>
      </c>
      <c r="L144" s="1065"/>
      <c r="M144" s="1065"/>
    </row>
    <row r="145" spans="2:13" hidden="1">
      <c r="B145" s="1065"/>
      <c r="C145" s="1065"/>
      <c r="D145" s="1065"/>
      <c r="E145" s="1065" t="s">
        <v>419</v>
      </c>
      <c r="F145" s="1065" t="s">
        <v>307</v>
      </c>
      <c r="G145" s="1065" t="s">
        <v>247</v>
      </c>
      <c r="H145" s="1065" t="s">
        <v>419</v>
      </c>
      <c r="I145" s="814" t="s">
        <v>366</v>
      </c>
      <c r="J145" s="1065" t="s">
        <v>247</v>
      </c>
      <c r="K145" s="1065" t="s">
        <v>419</v>
      </c>
      <c r="L145" s="814" t="s">
        <v>366</v>
      </c>
      <c r="M145" s="1065" t="s">
        <v>247</v>
      </c>
    </row>
    <row r="146" spans="2:13" hidden="1">
      <c r="B146" s="1065"/>
      <c r="C146" s="1065"/>
      <c r="D146" s="1065"/>
      <c r="E146" s="1065"/>
      <c r="F146" s="1065"/>
      <c r="G146" s="1065"/>
      <c r="H146" s="1065"/>
      <c r="I146" s="814" t="s">
        <v>434</v>
      </c>
      <c r="J146" s="1065"/>
      <c r="K146" s="1065"/>
      <c r="L146" s="814" t="s">
        <v>434</v>
      </c>
      <c r="M146" s="1065"/>
    </row>
    <row r="147" spans="2:13" hidden="1">
      <c r="B147" s="815"/>
      <c r="C147" s="815"/>
      <c r="D147" s="584"/>
      <c r="E147" s="584"/>
      <c r="F147" s="584"/>
      <c r="G147" s="584"/>
      <c r="H147" s="584"/>
      <c r="I147" s="584"/>
      <c r="J147" s="584"/>
      <c r="K147" s="584"/>
      <c r="L147" s="584"/>
      <c r="M147" s="584"/>
    </row>
    <row r="148" spans="2:13" ht="15.75" hidden="1">
      <c r="B148" s="586" t="s">
        <v>441</v>
      </c>
    </row>
    <row r="149" spans="2:13" hidden="1"/>
    <row r="150" spans="2:13" hidden="1">
      <c r="B150" s="374" t="s">
        <v>288</v>
      </c>
    </row>
    <row r="151" spans="2:13" hidden="1"/>
    <row r="152" spans="2:13" hidden="1">
      <c r="B152" s="583" t="s">
        <v>289</v>
      </c>
    </row>
    <row r="153" spans="2:13" hidden="1">
      <c r="B153" s="1065" t="s">
        <v>176</v>
      </c>
      <c r="C153" s="1065" t="s">
        <v>244</v>
      </c>
      <c r="D153" s="1065" t="s">
        <v>440</v>
      </c>
      <c r="E153" s="1065" t="s">
        <v>274</v>
      </c>
      <c r="F153" s="1065"/>
      <c r="G153" s="1065"/>
      <c r="H153" s="1065" t="s">
        <v>275</v>
      </c>
      <c r="I153" s="1065"/>
      <c r="J153" s="1065"/>
      <c r="K153" s="1065" t="s">
        <v>276</v>
      </c>
      <c r="L153" s="1065"/>
      <c r="M153" s="1065"/>
    </row>
    <row r="154" spans="2:13" hidden="1">
      <c r="B154" s="1065"/>
      <c r="C154" s="1065"/>
      <c r="D154" s="1065"/>
      <c r="E154" s="1065" t="s">
        <v>419</v>
      </c>
      <c r="F154" s="1065" t="s">
        <v>307</v>
      </c>
      <c r="G154" s="1065" t="s">
        <v>247</v>
      </c>
      <c r="H154" s="1065" t="s">
        <v>419</v>
      </c>
      <c r="I154" s="814" t="s">
        <v>366</v>
      </c>
      <c r="J154" s="1065" t="s">
        <v>247</v>
      </c>
      <c r="K154" s="1065" t="s">
        <v>419</v>
      </c>
      <c r="L154" s="814" t="s">
        <v>400</v>
      </c>
      <c r="M154" s="1065" t="s">
        <v>247</v>
      </c>
    </row>
    <row r="155" spans="2:13" hidden="1">
      <c r="B155" s="1065"/>
      <c r="C155" s="1065"/>
      <c r="D155" s="1065"/>
      <c r="E155" s="1065"/>
      <c r="F155" s="1065"/>
      <c r="G155" s="1065"/>
      <c r="H155" s="1065"/>
      <c r="I155" s="814" t="s">
        <v>434</v>
      </c>
      <c r="J155" s="1065"/>
      <c r="K155" s="1065"/>
      <c r="L155" s="814" t="s">
        <v>442</v>
      </c>
      <c r="M155" s="1065"/>
    </row>
    <row r="156" spans="2:13" hidden="1">
      <c r="B156" s="724"/>
      <c r="C156" s="724"/>
      <c r="D156" s="724"/>
      <c r="E156" s="724"/>
      <c r="F156" s="724"/>
      <c r="G156" s="724"/>
      <c r="H156" s="724"/>
      <c r="I156" s="724"/>
      <c r="J156" s="724"/>
      <c r="K156" s="724"/>
      <c r="L156" s="724"/>
      <c r="M156" s="724"/>
    </row>
    <row r="157" spans="2:13" hidden="1">
      <c r="B157" s="545" t="s">
        <v>243</v>
      </c>
      <c r="C157" s="545"/>
      <c r="D157" s="545"/>
      <c r="E157" s="545"/>
      <c r="F157" s="545"/>
      <c r="G157" s="545"/>
      <c r="H157" s="545"/>
      <c r="I157" s="545"/>
      <c r="J157" s="545"/>
      <c r="K157" s="545"/>
      <c r="L157" s="545"/>
      <c r="M157" s="545"/>
    </row>
    <row r="158" spans="2:13" hidden="1">
      <c r="B158" s="374" t="s">
        <v>239</v>
      </c>
    </row>
    <row r="159" spans="2:13" hidden="1">
      <c r="B159" s="374" t="s">
        <v>279</v>
      </c>
    </row>
    <row r="160" spans="2:13" hidden="1">
      <c r="B160" s="583" t="s">
        <v>410</v>
      </c>
    </row>
    <row r="161" spans="2:15" s="539" customFormat="1" hidden="1">
      <c r="B161" s="1065" t="s">
        <v>176</v>
      </c>
      <c r="C161" s="1065" t="s">
        <v>244</v>
      </c>
      <c r="D161" s="1065" t="s">
        <v>418</v>
      </c>
      <c r="E161" s="1065" t="s">
        <v>213</v>
      </c>
      <c r="F161" s="1065"/>
      <c r="G161" s="1065"/>
      <c r="H161" s="1065" t="s">
        <v>214</v>
      </c>
      <c r="I161" s="1065"/>
      <c r="J161" s="1065"/>
      <c r="K161" s="1065" t="s">
        <v>215</v>
      </c>
      <c r="L161" s="1065"/>
      <c r="M161" s="1065"/>
      <c r="N161" s="374"/>
      <c r="O161" s="374"/>
    </row>
    <row r="162" spans="2:15" hidden="1">
      <c r="B162" s="1065"/>
      <c r="C162" s="1065"/>
      <c r="D162" s="1065"/>
      <c r="E162" s="1065" t="s">
        <v>419</v>
      </c>
      <c r="F162" s="1065" t="s">
        <v>307</v>
      </c>
      <c r="G162" s="1065" t="s">
        <v>247</v>
      </c>
      <c r="H162" s="1065" t="s">
        <v>419</v>
      </c>
      <c r="I162" s="814" t="s">
        <v>366</v>
      </c>
      <c r="J162" s="1065" t="s">
        <v>247</v>
      </c>
      <c r="K162" s="1065" t="s">
        <v>419</v>
      </c>
      <c r="L162" s="814" t="s">
        <v>366</v>
      </c>
      <c r="M162" s="1065" t="s">
        <v>247</v>
      </c>
    </row>
    <row r="163" spans="2:15" hidden="1">
      <c r="B163" s="1065"/>
      <c r="C163" s="1065"/>
      <c r="D163" s="1065"/>
      <c r="E163" s="1065"/>
      <c r="F163" s="1065"/>
      <c r="G163" s="1065"/>
      <c r="H163" s="1065"/>
      <c r="I163" s="814" t="s">
        <v>434</v>
      </c>
      <c r="J163" s="1065"/>
      <c r="K163" s="1065"/>
      <c r="L163" s="814" t="s">
        <v>434</v>
      </c>
      <c r="M163" s="1065"/>
    </row>
    <row r="164" spans="2:15" ht="25.5" hidden="1">
      <c r="B164" s="814">
        <v>1</v>
      </c>
      <c r="C164" s="815" t="s">
        <v>443</v>
      </c>
      <c r="D164" s="854" t="s">
        <v>397</v>
      </c>
      <c r="E164" s="854">
        <v>0</v>
      </c>
      <c r="F164" s="852" t="e">
        <f t="shared" ref="F164:F165" si="18">G164/E164</f>
        <v>#DIV/0!</v>
      </c>
      <c r="G164" s="852">
        <v>0</v>
      </c>
      <c r="H164" s="855">
        <v>0</v>
      </c>
      <c r="I164" s="855">
        <v>0</v>
      </c>
      <c r="J164" s="855">
        <v>0</v>
      </c>
      <c r="K164" s="855">
        <v>0</v>
      </c>
      <c r="L164" s="855">
        <v>0</v>
      </c>
      <c r="M164" s="855">
        <v>0</v>
      </c>
    </row>
    <row r="165" spans="2:15" ht="25.5" hidden="1">
      <c r="B165" s="814">
        <v>2</v>
      </c>
      <c r="C165" s="815" t="s">
        <v>444</v>
      </c>
      <c r="D165" s="854" t="s">
        <v>397</v>
      </c>
      <c r="E165" s="854">
        <v>0</v>
      </c>
      <c r="F165" s="852" t="e">
        <f t="shared" si="18"/>
        <v>#DIV/0!</v>
      </c>
      <c r="G165" s="852">
        <v>0</v>
      </c>
      <c r="H165" s="855">
        <v>0</v>
      </c>
      <c r="I165" s="855">
        <v>0</v>
      </c>
      <c r="J165" s="855">
        <v>0</v>
      </c>
      <c r="K165" s="855">
        <v>0</v>
      </c>
      <c r="L165" s="855">
        <v>0</v>
      </c>
      <c r="M165" s="855">
        <v>0</v>
      </c>
    </row>
    <row r="166" spans="2:15" hidden="1">
      <c r="B166" s="814">
        <v>3</v>
      </c>
      <c r="C166" s="815" t="s">
        <v>445</v>
      </c>
      <c r="D166" s="854" t="s">
        <v>397</v>
      </c>
      <c r="E166" s="854">
        <v>0</v>
      </c>
      <c r="F166" s="852">
        <v>0</v>
      </c>
      <c r="G166" s="852">
        <v>0</v>
      </c>
      <c r="H166" s="855">
        <v>0</v>
      </c>
      <c r="I166" s="855">
        <v>0</v>
      </c>
      <c r="J166" s="855">
        <v>0</v>
      </c>
      <c r="K166" s="855">
        <v>0</v>
      </c>
      <c r="L166" s="855">
        <v>0</v>
      </c>
      <c r="M166" s="855">
        <v>0</v>
      </c>
    </row>
    <row r="167" spans="2:15" hidden="1">
      <c r="B167" s="595"/>
      <c r="C167" s="616" t="s">
        <v>254</v>
      </c>
      <c r="D167" s="612" t="s">
        <v>25</v>
      </c>
      <c r="E167" s="853">
        <f>SUM(E164)</f>
        <v>0</v>
      </c>
      <c r="F167" s="852"/>
      <c r="G167" s="852">
        <f>SUM(G164:G166)</f>
        <v>0</v>
      </c>
      <c r="H167" s="855">
        <v>0</v>
      </c>
      <c r="I167" s="855">
        <v>0</v>
      </c>
      <c r="J167" s="855">
        <v>0</v>
      </c>
      <c r="K167" s="855">
        <v>0</v>
      </c>
      <c r="L167" s="855">
        <v>0</v>
      </c>
      <c r="M167" s="855">
        <v>0</v>
      </c>
      <c r="O167" s="791"/>
    </row>
    <row r="168" spans="2:15" hidden="1">
      <c r="B168" s="533"/>
      <c r="C168" s="533"/>
      <c r="D168" s="699"/>
      <c r="E168" s="699"/>
      <c r="F168" s="699"/>
      <c r="G168" s="699"/>
      <c r="H168" s="699"/>
      <c r="I168" s="699"/>
      <c r="J168" s="699"/>
      <c r="K168" s="699"/>
      <c r="L168" s="699"/>
      <c r="M168" s="699"/>
    </row>
    <row r="169" spans="2:15" ht="15.75" hidden="1">
      <c r="B169" s="586" t="s">
        <v>446</v>
      </c>
      <c r="O169" s="791"/>
    </row>
    <row r="170" spans="2:15" hidden="1"/>
    <row r="172" spans="2:15">
      <c r="E172" s="374">
        <v>2023</v>
      </c>
      <c r="F172" s="374">
        <v>2024</v>
      </c>
      <c r="G172" s="374">
        <v>2025</v>
      </c>
    </row>
    <row r="173" spans="2:15" hidden="1">
      <c r="B173" s="374">
        <v>2</v>
      </c>
      <c r="C173" s="374" t="s">
        <v>891</v>
      </c>
      <c r="D173" s="374">
        <v>224</v>
      </c>
      <c r="E173" s="374">
        <f>0</f>
        <v>0</v>
      </c>
      <c r="F173" s="374">
        <v>0</v>
      </c>
      <c r="G173" s="374">
        <v>0</v>
      </c>
    </row>
    <row r="174" spans="2:15" hidden="1">
      <c r="B174" s="374">
        <v>4</v>
      </c>
      <c r="C174" s="374" t="s">
        <v>891</v>
      </c>
      <c r="D174" s="374">
        <v>224</v>
      </c>
      <c r="E174" s="802">
        <f>G35+G36</f>
        <v>12428476.800000001</v>
      </c>
      <c r="F174" s="802">
        <f>J35+J36</f>
        <v>12428476.800000001</v>
      </c>
      <c r="G174" s="802">
        <f>M35+M36</f>
        <v>4721038.38</v>
      </c>
    </row>
    <row r="175" spans="2:15" hidden="1">
      <c r="E175" s="804">
        <f>E177-E176</f>
        <v>-374298.3</v>
      </c>
      <c r="F175" s="804">
        <f t="shared" ref="F175:G175" si="19">F177-F176</f>
        <v>-86722.57</v>
      </c>
      <c r="G175" s="804">
        <f t="shared" si="19"/>
        <v>-86722.57</v>
      </c>
    </row>
    <row r="176" spans="2:15" hidden="1">
      <c r="E176" s="374">
        <v>3034715.45</v>
      </c>
      <c r="F176" s="374">
        <v>2996210.54</v>
      </c>
      <c r="G176" s="374">
        <v>2998074.71</v>
      </c>
    </row>
    <row r="177" spans="2:10" hidden="1">
      <c r="B177" s="374">
        <v>2</v>
      </c>
      <c r="C177" s="374" t="s">
        <v>891</v>
      </c>
      <c r="D177" s="374">
        <v>226</v>
      </c>
      <c r="E177" s="802">
        <f>G24+G55</f>
        <v>2660417.15</v>
      </c>
      <c r="F177" s="802">
        <f>K24+J55</f>
        <v>2909487.97</v>
      </c>
      <c r="G177" s="802">
        <f>O24+M55</f>
        <v>2911352.14</v>
      </c>
    </row>
    <row r="178" spans="2:10" hidden="1">
      <c r="B178" s="374">
        <v>4</v>
      </c>
      <c r="C178" s="374" t="s">
        <v>891</v>
      </c>
      <c r="D178" s="374">
        <v>226</v>
      </c>
      <c r="E178" s="804">
        <f>G12+G38+G39+G40</f>
        <v>1343981.37</v>
      </c>
      <c r="F178" s="804">
        <f>K12+J38+J39+J40+J41</f>
        <v>681035.74</v>
      </c>
      <c r="G178" s="804">
        <f>O12+M38+M39+M40+M41</f>
        <v>599430.61</v>
      </c>
    </row>
    <row r="179" spans="2:10" hidden="1">
      <c r="F179" s="804"/>
      <c r="G179" s="804"/>
    </row>
    <row r="180" spans="2:10" hidden="1"/>
    <row r="181" spans="2:10" hidden="1">
      <c r="B181" s="374">
        <v>2</v>
      </c>
      <c r="C181" s="374" t="s">
        <v>933</v>
      </c>
      <c r="D181" s="374">
        <v>226</v>
      </c>
      <c r="E181" s="802">
        <f>G81</f>
        <v>86722.57</v>
      </c>
      <c r="F181" s="802">
        <f>J81</f>
        <v>86722.57</v>
      </c>
      <c r="G181" s="802">
        <f>M81</f>
        <v>86722.57</v>
      </c>
    </row>
    <row r="182" spans="2:10" hidden="1">
      <c r="B182" s="374">
        <v>4</v>
      </c>
      <c r="C182" s="374" t="s">
        <v>933</v>
      </c>
      <c r="E182" s="802">
        <f>G69</f>
        <v>282546.46999999997</v>
      </c>
      <c r="F182" s="802">
        <f>J69</f>
        <v>365532.84</v>
      </c>
      <c r="G182" s="802">
        <f>M69</f>
        <v>365532.84</v>
      </c>
    </row>
    <row r="183" spans="2:10" hidden="1">
      <c r="F183" s="804">
        <f>F178+F182</f>
        <v>1046568.58</v>
      </c>
      <c r="G183" s="804">
        <f>G178+G182</f>
        <v>964963.45</v>
      </c>
    </row>
    <row r="184" spans="2:10">
      <c r="J184" s="374">
        <f>11000/10</f>
        <v>1100</v>
      </c>
    </row>
    <row r="185" spans="2:10">
      <c r="E185" s="804">
        <f>E186-E187</f>
        <v>0</v>
      </c>
      <c r="F185" s="804">
        <f t="shared" ref="F185:G185" si="20">F186-F187</f>
        <v>0</v>
      </c>
      <c r="G185" s="804">
        <f t="shared" si="20"/>
        <v>0</v>
      </c>
    </row>
    <row r="186" spans="2:10">
      <c r="E186" s="804">
        <v>2660417.15</v>
      </c>
      <c r="F186" s="804">
        <v>2909487.97</v>
      </c>
      <c r="G186" s="804">
        <v>2911352.14</v>
      </c>
    </row>
    <row r="187" spans="2:10">
      <c r="B187" s="374">
        <v>2</v>
      </c>
      <c r="C187" s="374" t="s">
        <v>891</v>
      </c>
      <c r="E187" s="802">
        <f>G24+G55</f>
        <v>2660417.15</v>
      </c>
      <c r="F187" s="802">
        <f>K24+J55</f>
        <v>2909487.97</v>
      </c>
      <c r="G187" s="802">
        <f>O24+M55</f>
        <v>2911352.14</v>
      </c>
    </row>
    <row r="188" spans="2:10">
      <c r="B188" s="374">
        <v>2</v>
      </c>
      <c r="C188" s="374" t="s">
        <v>933</v>
      </c>
      <c r="E188" s="802">
        <f>G81</f>
        <v>86722.57</v>
      </c>
      <c r="F188" s="802">
        <f>J81</f>
        <v>86722.57</v>
      </c>
      <c r="G188" s="802">
        <f>M81</f>
        <v>86722.57</v>
      </c>
    </row>
    <row r="189" spans="2:10">
      <c r="B189" s="374">
        <v>2</v>
      </c>
      <c r="C189" s="374" t="s">
        <v>934</v>
      </c>
      <c r="E189" s="802">
        <f>G91</f>
        <v>11000</v>
      </c>
      <c r="F189" s="802">
        <f>J91</f>
        <v>0</v>
      </c>
      <c r="G189" s="802">
        <f>M91</f>
        <v>0</v>
      </c>
    </row>
    <row r="191" spans="2:10">
      <c r="F191" s="804"/>
      <c r="G191" s="804"/>
    </row>
    <row r="193" spans="3:8">
      <c r="C193" s="374" t="s">
        <v>891</v>
      </c>
      <c r="E193" s="804">
        <f>G14+G42</f>
        <v>1343981.37</v>
      </c>
      <c r="F193" s="804">
        <f>K14+J42</f>
        <v>681035.74</v>
      </c>
      <c r="G193" s="804">
        <f>O14+M42</f>
        <v>599430.61</v>
      </c>
    </row>
    <row r="194" spans="3:8">
      <c r="C194" s="374" t="s">
        <v>933</v>
      </c>
      <c r="E194" s="802">
        <f>G69</f>
        <v>282546.46999999997</v>
      </c>
      <c r="F194" s="802">
        <f>J69</f>
        <v>365532.84</v>
      </c>
      <c r="G194" s="802">
        <f>M69</f>
        <v>365532.84</v>
      </c>
    </row>
    <row r="195" spans="3:8">
      <c r="C195" s="374" t="s">
        <v>894</v>
      </c>
      <c r="E195" s="802">
        <f>G101</f>
        <v>2015316.06</v>
      </c>
      <c r="F195" s="802">
        <f>J101</f>
        <v>2168787.38</v>
      </c>
      <c r="G195" s="802">
        <f>M101</f>
        <v>2294502.7799999998</v>
      </c>
    </row>
    <row r="208" spans="3:8">
      <c r="H208" s="374" t="s">
        <v>938</v>
      </c>
    </row>
  </sheetData>
  <mergeCells count="159">
    <mergeCell ref="B87:B88"/>
    <mergeCell ref="C87:C88"/>
    <mergeCell ref="D87:D88"/>
    <mergeCell ref="E87:G87"/>
    <mergeCell ref="H87:J87"/>
    <mergeCell ref="K87:M87"/>
    <mergeCell ref="H10:H11"/>
    <mergeCell ref="J10:J11"/>
    <mergeCell ref="K10:K11"/>
    <mergeCell ref="L10:L11"/>
    <mergeCell ref="J63:J64"/>
    <mergeCell ref="K63:K64"/>
    <mergeCell ref="L63:L64"/>
    <mergeCell ref="M63:M64"/>
    <mergeCell ref="C12:C13"/>
    <mergeCell ref="D12:D13"/>
    <mergeCell ref="H12:H13"/>
    <mergeCell ref="I12:I13"/>
    <mergeCell ref="J12:J13"/>
    <mergeCell ref="K12:K13"/>
    <mergeCell ref="L12:L13"/>
    <mergeCell ref="M12:M13"/>
    <mergeCell ref="H33:H34"/>
    <mergeCell ref="I33:I34"/>
    <mergeCell ref="N10:N11"/>
    <mergeCell ref="O10:O11"/>
    <mergeCell ref="B9:B11"/>
    <mergeCell ref="C9:C11"/>
    <mergeCell ref="D9:G9"/>
    <mergeCell ref="H9:K9"/>
    <mergeCell ref="L9:O9"/>
    <mergeCell ref="D10:D11"/>
    <mergeCell ref="F10:F11"/>
    <mergeCell ref="G10:G11"/>
    <mergeCell ref="O21:O22"/>
    <mergeCell ref="B32:B34"/>
    <mergeCell ref="C32:C34"/>
    <mergeCell ref="D32:D34"/>
    <mergeCell ref="E32:G32"/>
    <mergeCell ref="H32:J32"/>
    <mergeCell ref="K32:M32"/>
    <mergeCell ref="B20:B22"/>
    <mergeCell ref="C20:C22"/>
    <mergeCell ref="D20:G20"/>
    <mergeCell ref="H20:K20"/>
    <mergeCell ref="L20:O20"/>
    <mergeCell ref="D21:D22"/>
    <mergeCell ref="F21:F22"/>
    <mergeCell ref="G21:G22"/>
    <mergeCell ref="H21:H22"/>
    <mergeCell ref="J21:J22"/>
    <mergeCell ref="K33:K34"/>
    <mergeCell ref="L33:L34"/>
    <mergeCell ref="M33:M34"/>
    <mergeCell ref="E33:E34"/>
    <mergeCell ref="G33:G34"/>
    <mergeCell ref="N21:N22"/>
    <mergeCell ref="B97:B99"/>
    <mergeCell ref="C97:C99"/>
    <mergeCell ref="D97:D99"/>
    <mergeCell ref="E97:G97"/>
    <mergeCell ref="H97:J97"/>
    <mergeCell ref="K97:M97"/>
    <mergeCell ref="E98:E99"/>
    <mergeCell ref="B108:B109"/>
    <mergeCell ref="C108:C109"/>
    <mergeCell ref="D108:D109"/>
    <mergeCell ref="E108:G108"/>
    <mergeCell ref="H108:J108"/>
    <mergeCell ref="K108:M108"/>
    <mergeCell ref="L98:L99"/>
    <mergeCell ref="M98:M99"/>
    <mergeCell ref="F98:F99"/>
    <mergeCell ref="G98:G99"/>
    <mergeCell ref="H98:H99"/>
    <mergeCell ref="I98:I99"/>
    <mergeCell ref="J98:J99"/>
    <mergeCell ref="K98:K99"/>
    <mergeCell ref="H144:J144"/>
    <mergeCell ref="K144:M144"/>
    <mergeCell ref="E145:E146"/>
    <mergeCell ref="F145:F146"/>
    <mergeCell ref="G145:G146"/>
    <mergeCell ref="H145:H146"/>
    <mergeCell ref="J145:J146"/>
    <mergeCell ref="K145:K146"/>
    <mergeCell ref="M145:M146"/>
    <mergeCell ref="B161:B163"/>
    <mergeCell ref="C161:C163"/>
    <mergeCell ref="D161:D163"/>
    <mergeCell ref="E161:G161"/>
    <mergeCell ref="H161:J161"/>
    <mergeCell ref="K161:M161"/>
    <mergeCell ref="E162:E163"/>
    <mergeCell ref="B153:B155"/>
    <mergeCell ref="C153:C155"/>
    <mergeCell ref="D153:D155"/>
    <mergeCell ref="E153:G153"/>
    <mergeCell ref="H153:J153"/>
    <mergeCell ref="K153:M153"/>
    <mergeCell ref="E154:E155"/>
    <mergeCell ref="F154:F155"/>
    <mergeCell ref="G154:G155"/>
    <mergeCell ref="H154:H155"/>
    <mergeCell ref="F162:F163"/>
    <mergeCell ref="G162:G163"/>
    <mergeCell ref="H162:H163"/>
    <mergeCell ref="J162:J163"/>
    <mergeCell ref="K162:K163"/>
    <mergeCell ref="M162:M163"/>
    <mergeCell ref="J154:J155"/>
    <mergeCell ref="K154:K155"/>
    <mergeCell ref="M154:M155"/>
    <mergeCell ref="B76:B77"/>
    <mergeCell ref="C76:C77"/>
    <mergeCell ref="D76:D77"/>
    <mergeCell ref="E76:G76"/>
    <mergeCell ref="H76:J76"/>
    <mergeCell ref="K76:M76"/>
    <mergeCell ref="N12:N13"/>
    <mergeCell ref="B144:B146"/>
    <mergeCell ref="C144:C146"/>
    <mergeCell ref="B135:B137"/>
    <mergeCell ref="C135:C137"/>
    <mergeCell ref="D135:D137"/>
    <mergeCell ref="E135:G135"/>
    <mergeCell ref="H135:J135"/>
    <mergeCell ref="K135:M135"/>
    <mergeCell ref="E136:E137"/>
    <mergeCell ref="F136:F137"/>
    <mergeCell ref="G136:G137"/>
    <mergeCell ref="H136:H137"/>
    <mergeCell ref="J136:J137"/>
    <mergeCell ref="K136:K137"/>
    <mergeCell ref="M136:M137"/>
    <mergeCell ref="D144:D146"/>
    <mergeCell ref="E144:G144"/>
    <mergeCell ref="O12:O13"/>
    <mergeCell ref="B49:B50"/>
    <mergeCell ref="C49:C50"/>
    <mergeCell ref="D49:D50"/>
    <mergeCell ref="E49:G49"/>
    <mergeCell ref="H49:J49"/>
    <mergeCell ref="K49:M49"/>
    <mergeCell ref="B62:B64"/>
    <mergeCell ref="C62:C64"/>
    <mergeCell ref="D62:D64"/>
    <mergeCell ref="E62:G62"/>
    <mergeCell ref="H62:J62"/>
    <mergeCell ref="K62:M62"/>
    <mergeCell ref="E63:E64"/>
    <mergeCell ref="F63:F64"/>
    <mergeCell ref="G63:G64"/>
    <mergeCell ref="H63:H64"/>
    <mergeCell ref="I63:I64"/>
    <mergeCell ref="J33:J34"/>
    <mergeCell ref="K21:K22"/>
    <mergeCell ref="L21:L22"/>
    <mergeCell ref="F33:F34"/>
  </mergeCells>
  <pageMargins left="0.78740157480314965" right="0.39370078740157483" top="0.39370078740157483" bottom="0.39370078740157483" header="0.31496062992125984" footer="0.31496062992125984"/>
  <pageSetup paperSize="9" scale="39" orientation="portrait" horizontalDpi="4294967295" verticalDpi="4294967295" r:id="rId1"/>
  <rowBreaks count="1" manualBreakCount="1">
    <brk id="129" min="2" max="14"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2"/>
  <sheetViews>
    <sheetView view="pageBreakPreview" zoomScale="70" zoomScaleNormal="85" zoomScaleSheetLayoutView="70" zoomScalePageLayoutView="55" workbookViewId="0">
      <selection activeCell="H29" sqref="H29"/>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7" s="464" customFormat="1" ht="15.75">
      <c r="A1" s="586" t="s">
        <v>327</v>
      </c>
      <c r="B1" s="538"/>
      <c r="C1" s="538"/>
      <c r="D1" s="538"/>
      <c r="E1" s="538"/>
      <c r="F1" s="538"/>
      <c r="G1" s="538"/>
      <c r="H1" s="538"/>
      <c r="I1" s="538"/>
      <c r="J1" s="538"/>
      <c r="K1" s="538"/>
      <c r="L1" s="538"/>
      <c r="M1" s="538"/>
      <c r="N1" s="538"/>
      <c r="O1" s="591"/>
    </row>
    <row r="2" spans="1:17" s="464" customFormat="1">
      <c r="A2" s="538"/>
      <c r="B2" s="538"/>
      <c r="C2" s="538"/>
      <c r="D2" s="538"/>
      <c r="E2" s="538"/>
      <c r="F2" s="538"/>
      <c r="G2" s="538"/>
      <c r="H2" s="538"/>
      <c r="I2" s="538"/>
      <c r="J2" s="538"/>
      <c r="K2" s="538"/>
      <c r="L2" s="538"/>
      <c r="M2" s="538"/>
      <c r="N2" s="538"/>
      <c r="O2" s="591"/>
      <c r="Q2" s="462" t="s">
        <v>494</v>
      </c>
    </row>
    <row r="3" spans="1:17" s="463" customFormat="1">
      <c r="A3" s="539" t="s">
        <v>235</v>
      </c>
      <c r="B3" s="540"/>
      <c r="C3" s="540"/>
      <c r="D3" s="540"/>
      <c r="E3" s="540"/>
      <c r="F3" s="540"/>
      <c r="G3" s="540"/>
      <c r="H3" s="540"/>
      <c r="I3" s="540"/>
      <c r="J3" s="540"/>
      <c r="K3" s="540"/>
      <c r="L3" s="540"/>
      <c r="M3" s="540"/>
      <c r="N3" s="540"/>
      <c r="O3" s="591"/>
    </row>
    <row r="4" spans="1:17" s="464" customFormat="1">
      <c r="A4" s="374" t="s">
        <v>236</v>
      </c>
      <c r="B4" s="538"/>
      <c r="C4" s="538"/>
      <c r="D4" s="538"/>
      <c r="E4" s="538"/>
      <c r="F4" s="538"/>
      <c r="G4" s="538"/>
      <c r="H4" s="538"/>
      <c r="I4" s="538"/>
      <c r="J4" s="538"/>
      <c r="K4" s="538"/>
      <c r="L4" s="538"/>
      <c r="M4" s="538"/>
      <c r="N4" s="538"/>
      <c r="O4" s="591"/>
    </row>
    <row r="5" spans="1:17" s="464" customFormat="1">
      <c r="A5" s="374" t="s">
        <v>237</v>
      </c>
      <c r="B5" s="538"/>
      <c r="C5" s="538"/>
      <c r="D5" s="538"/>
      <c r="E5" s="538"/>
      <c r="F5" s="538"/>
      <c r="G5" s="538"/>
      <c r="H5" s="538"/>
      <c r="I5" s="538"/>
      <c r="J5" s="538"/>
      <c r="K5" s="538"/>
      <c r="L5" s="538"/>
      <c r="M5" s="538"/>
      <c r="N5" s="538"/>
      <c r="O5" s="591"/>
    </row>
    <row r="6" spans="1:17" s="464" customFormat="1">
      <c r="A6" s="374" t="s">
        <v>580</v>
      </c>
      <c r="B6" s="538"/>
      <c r="C6" s="538"/>
      <c r="D6" s="538"/>
      <c r="E6" s="538"/>
      <c r="F6" s="538"/>
      <c r="G6" s="538"/>
      <c r="H6" s="538"/>
      <c r="I6" s="538"/>
      <c r="J6" s="538"/>
      <c r="K6" s="538"/>
      <c r="L6" s="538"/>
      <c r="M6" s="538"/>
      <c r="N6" s="538"/>
      <c r="O6" s="591"/>
    </row>
    <row r="7" spans="1:17" s="464" customFormat="1">
      <c r="A7" s="1065" t="s">
        <v>176</v>
      </c>
      <c r="B7" s="1065" t="s">
        <v>9</v>
      </c>
      <c r="C7" s="1065" t="s">
        <v>213</v>
      </c>
      <c r="D7" s="1065"/>
      <c r="E7" s="1065"/>
      <c r="F7" s="1065"/>
      <c r="G7" s="1065" t="s">
        <v>214</v>
      </c>
      <c r="H7" s="1065"/>
      <c r="I7" s="1065"/>
      <c r="J7" s="1065"/>
      <c r="K7" s="1065" t="s">
        <v>215</v>
      </c>
      <c r="L7" s="1065"/>
      <c r="M7" s="1065"/>
      <c r="N7" s="1065"/>
      <c r="O7" s="591"/>
    </row>
    <row r="8" spans="1:17" s="464" customFormat="1" ht="23.25" customHeight="1">
      <c r="A8" s="1065"/>
      <c r="B8" s="1065"/>
      <c r="C8" s="1065" t="s">
        <v>328</v>
      </c>
      <c r="D8" s="1066" t="s">
        <v>329</v>
      </c>
      <c r="E8" s="1067"/>
      <c r="F8" s="1065" t="s">
        <v>247</v>
      </c>
      <c r="G8" s="1065" t="s">
        <v>328</v>
      </c>
      <c r="H8" s="1066" t="s">
        <v>329</v>
      </c>
      <c r="I8" s="1067"/>
      <c r="J8" s="1065" t="s">
        <v>247</v>
      </c>
      <c r="K8" s="1065" t="s">
        <v>328</v>
      </c>
      <c r="L8" s="1066" t="s">
        <v>329</v>
      </c>
      <c r="M8" s="1067"/>
      <c r="N8" s="1065" t="s">
        <v>247</v>
      </c>
      <c r="O8" s="591"/>
    </row>
    <row r="9" spans="1:17" s="464" customFormat="1" ht="27" customHeight="1">
      <c r="A9" s="1065"/>
      <c r="B9" s="1065"/>
      <c r="C9" s="1065"/>
      <c r="D9" s="705" t="s">
        <v>330</v>
      </c>
      <c r="E9" s="705" t="s">
        <v>331</v>
      </c>
      <c r="F9" s="1065"/>
      <c r="G9" s="1065"/>
      <c r="H9" s="705" t="s">
        <v>331</v>
      </c>
      <c r="I9" s="705" t="s">
        <v>332</v>
      </c>
      <c r="J9" s="1065"/>
      <c r="K9" s="1065"/>
      <c r="L9" s="1066" t="s">
        <v>333</v>
      </c>
      <c r="M9" s="1067"/>
      <c r="N9" s="1065"/>
      <c r="O9" s="591"/>
    </row>
    <row r="10" spans="1:17" s="464" customFormat="1" ht="15" customHeight="1">
      <c r="A10" s="705">
        <v>1</v>
      </c>
      <c r="B10" s="705" t="s">
        <v>334</v>
      </c>
      <c r="C10" s="531">
        <f t="shared" ref="C10:C40" si="0">F10/((D10+E10)/2)</f>
        <v>0</v>
      </c>
      <c r="D10" s="705">
        <v>1802.36</v>
      </c>
      <c r="E10" s="705">
        <v>1802.36</v>
      </c>
      <c r="F10" s="88"/>
      <c r="G10" s="531">
        <f t="shared" ref="G10:G40" si="1">J10/((H10+I10)/2)</f>
        <v>0</v>
      </c>
      <c r="H10" s="705">
        <v>1802.36</v>
      </c>
      <c r="I10" s="705">
        <v>1867.21</v>
      </c>
      <c r="J10" s="88"/>
      <c r="K10" s="531">
        <f t="shared" ref="K10:K40" si="2">N10/((L10+M10)/2)</f>
        <v>0</v>
      </c>
      <c r="L10" s="1066">
        <v>1867.21</v>
      </c>
      <c r="M10" s="1067"/>
      <c r="N10" s="88"/>
      <c r="O10" s="591"/>
    </row>
    <row r="11" spans="1:17" s="464" customFormat="1" ht="15" customHeight="1">
      <c r="A11" s="705">
        <v>2</v>
      </c>
      <c r="B11" s="705" t="s">
        <v>335</v>
      </c>
      <c r="C11" s="531">
        <f t="shared" si="0"/>
        <v>0</v>
      </c>
      <c r="D11" s="705">
        <v>6.29</v>
      </c>
      <c r="E11" s="705">
        <v>6.29</v>
      </c>
      <c r="F11" s="88"/>
      <c r="G11" s="531">
        <f t="shared" si="1"/>
        <v>0</v>
      </c>
      <c r="H11" s="705">
        <v>6.29</v>
      </c>
      <c r="I11" s="705">
        <v>6.29</v>
      </c>
      <c r="J11" s="88"/>
      <c r="K11" s="531">
        <f t="shared" si="2"/>
        <v>0</v>
      </c>
      <c r="L11" s="1066">
        <v>6.29</v>
      </c>
      <c r="M11" s="1067"/>
      <c r="N11" s="88"/>
      <c r="O11" s="591"/>
    </row>
    <row r="12" spans="1:17" s="464" customFormat="1" ht="25.5">
      <c r="A12" s="705">
        <v>3</v>
      </c>
      <c r="B12" s="705" t="s">
        <v>336</v>
      </c>
      <c r="C12" s="531">
        <f t="shared" si="0"/>
        <v>0</v>
      </c>
      <c r="D12" s="599">
        <v>1802.36</v>
      </c>
      <c r="E12" s="599">
        <v>1802.36</v>
      </c>
      <c r="F12" s="88"/>
      <c r="G12" s="531">
        <f t="shared" si="1"/>
        <v>0</v>
      </c>
      <c r="H12" s="705">
        <v>1802.36</v>
      </c>
      <c r="I12" s="705">
        <v>1867.21</v>
      </c>
      <c r="J12" s="88"/>
      <c r="K12" s="531">
        <f t="shared" si="2"/>
        <v>0</v>
      </c>
      <c r="L12" s="1066">
        <v>1867.21</v>
      </c>
      <c r="M12" s="1067"/>
      <c r="N12" s="88"/>
      <c r="O12" s="591"/>
    </row>
    <row r="13" spans="1:17" s="464" customFormat="1">
      <c r="A13" s="595"/>
      <c r="B13" s="596" t="s">
        <v>254</v>
      </c>
      <c r="C13" s="597" t="s">
        <v>25</v>
      </c>
      <c r="D13" s="597" t="s">
        <v>25</v>
      </c>
      <c r="E13" s="597" t="s">
        <v>25</v>
      </c>
      <c r="F13" s="88">
        <f>SUM(F10:F12)</f>
        <v>0</v>
      </c>
      <c r="G13" s="597" t="s">
        <v>25</v>
      </c>
      <c r="H13" s="597" t="s">
        <v>25</v>
      </c>
      <c r="I13" s="597" t="s">
        <v>25</v>
      </c>
      <c r="J13" s="88">
        <f>SUM(J10:J12)</f>
        <v>0</v>
      </c>
      <c r="K13" s="597" t="s">
        <v>25</v>
      </c>
      <c r="L13" s="597" t="s">
        <v>25</v>
      </c>
      <c r="M13" s="597" t="s">
        <v>25</v>
      </c>
      <c r="N13" s="88">
        <f>SUM(N10:N12)</f>
        <v>0</v>
      </c>
      <c r="O13" s="591"/>
    </row>
    <row r="14" spans="1:17" s="464" customFormat="1">
      <c r="A14" s="583"/>
      <c r="B14" s="600"/>
      <c r="C14" s="601"/>
      <c r="D14" s="601"/>
      <c r="E14" s="601"/>
      <c r="F14" s="536"/>
      <c r="G14" s="601"/>
      <c r="H14" s="601"/>
      <c r="I14" s="601"/>
      <c r="J14" s="536"/>
      <c r="K14" s="601"/>
      <c r="L14" s="601"/>
      <c r="M14" s="601"/>
      <c r="N14" s="536"/>
      <c r="O14" s="591"/>
    </row>
    <row r="15" spans="1:17" s="464" customFormat="1">
      <c r="A15" s="539" t="s">
        <v>235</v>
      </c>
      <c r="B15" s="540"/>
      <c r="C15" s="540"/>
      <c r="D15" s="540"/>
      <c r="E15" s="540"/>
      <c r="F15" s="602"/>
      <c r="G15" s="540"/>
      <c r="H15" s="540"/>
      <c r="I15" s="540"/>
      <c r="J15" s="602"/>
      <c r="K15" s="540"/>
      <c r="L15" s="540"/>
      <c r="M15" s="540"/>
      <c r="N15" s="602"/>
      <c r="O15" s="591"/>
    </row>
    <row r="16" spans="1:17" s="464" customFormat="1">
      <c r="A16" s="374" t="s">
        <v>236</v>
      </c>
      <c r="B16" s="538"/>
      <c r="C16" s="538"/>
      <c r="D16" s="538"/>
      <c r="E16" s="538"/>
      <c r="F16" s="603"/>
      <c r="G16" s="538"/>
      <c r="H16" s="538"/>
      <c r="I16" s="538"/>
      <c r="J16" s="603"/>
      <c r="K16" s="538"/>
      <c r="L16" s="538"/>
      <c r="M16" s="538"/>
      <c r="N16" s="603"/>
      <c r="O16" s="591"/>
    </row>
    <row r="17" spans="1:19" s="464" customFormat="1">
      <c r="A17" s="374" t="s">
        <v>237</v>
      </c>
      <c r="B17" s="538"/>
      <c r="C17" s="538"/>
      <c r="D17" s="538"/>
      <c r="E17" s="538"/>
      <c r="F17" s="603"/>
      <c r="G17" s="538"/>
      <c r="H17" s="538"/>
      <c r="I17" s="538"/>
      <c r="J17" s="603"/>
      <c r="K17" s="538"/>
      <c r="L17" s="538"/>
      <c r="M17" s="538"/>
      <c r="N17" s="603"/>
      <c r="O17" s="591"/>
    </row>
    <row r="18" spans="1:19" s="464" customFormat="1">
      <c r="A18" s="448" t="s">
        <v>337</v>
      </c>
      <c r="B18" s="604"/>
      <c r="C18" s="604"/>
      <c r="D18" s="604"/>
      <c r="E18" s="604"/>
      <c r="F18" s="605"/>
      <c r="G18" s="604"/>
      <c r="H18" s="604"/>
      <c r="I18" s="604"/>
      <c r="J18" s="605"/>
      <c r="K18" s="604"/>
      <c r="L18" s="604"/>
      <c r="M18" s="604"/>
      <c r="N18" s="605"/>
      <c r="O18" s="591"/>
    </row>
    <row r="19" spans="1:19" s="464" customFormat="1">
      <c r="A19" s="1068" t="s">
        <v>176</v>
      </c>
      <c r="B19" s="1068" t="s">
        <v>9</v>
      </c>
      <c r="C19" s="1066" t="s">
        <v>559</v>
      </c>
      <c r="D19" s="1069"/>
      <c r="E19" s="1069"/>
      <c r="F19" s="1067"/>
      <c r="G19" s="1066" t="s">
        <v>560</v>
      </c>
      <c r="H19" s="1069"/>
      <c r="I19" s="1069"/>
      <c r="J19" s="1067"/>
      <c r="K19" s="1066" t="s">
        <v>561</v>
      </c>
      <c r="L19" s="1069"/>
      <c r="M19" s="1069"/>
      <c r="N19" s="1067"/>
      <c r="O19" s="606"/>
    </row>
    <row r="20" spans="1:19" s="464" customFormat="1" ht="21" customHeight="1">
      <c r="A20" s="1065"/>
      <c r="B20" s="1065"/>
      <c r="C20" s="1068" t="s">
        <v>328</v>
      </c>
      <c r="D20" s="1066" t="s">
        <v>329</v>
      </c>
      <c r="E20" s="1067"/>
      <c r="F20" s="1068" t="s">
        <v>247</v>
      </c>
      <c r="G20" s="1068" t="s">
        <v>328</v>
      </c>
      <c r="H20" s="1066" t="s">
        <v>329</v>
      </c>
      <c r="I20" s="1067"/>
      <c r="J20" s="1068" t="s">
        <v>247</v>
      </c>
      <c r="K20" s="1068" t="s">
        <v>328</v>
      </c>
      <c r="L20" s="1066" t="s">
        <v>329</v>
      </c>
      <c r="M20" s="1067"/>
      <c r="N20" s="1068" t="s">
        <v>247</v>
      </c>
      <c r="O20" s="606"/>
    </row>
    <row r="21" spans="1:19" s="464" customFormat="1" ht="25.5">
      <c r="A21" s="1065"/>
      <c r="B21" s="1065"/>
      <c r="C21" s="1065"/>
      <c r="D21" s="705" t="s">
        <v>574</v>
      </c>
      <c r="E21" s="705" t="s">
        <v>575</v>
      </c>
      <c r="F21" s="1065"/>
      <c r="G21" s="1065"/>
      <c r="H21" s="705" t="s">
        <v>576</v>
      </c>
      <c r="I21" s="705" t="s">
        <v>577</v>
      </c>
      <c r="J21" s="1065"/>
      <c r="K21" s="1065"/>
      <c r="L21" s="705" t="s">
        <v>578</v>
      </c>
      <c r="M21" s="705" t="s">
        <v>579</v>
      </c>
      <c r="N21" s="1065"/>
      <c r="O21" s="606"/>
      <c r="Q21" s="478">
        <f>F29</f>
        <v>801570</v>
      </c>
      <c r="R21" s="478">
        <f>J29</f>
        <v>810098.39</v>
      </c>
      <c r="S21" s="478">
        <f>N29</f>
        <v>820430.14</v>
      </c>
    </row>
    <row r="22" spans="1:19" s="464" customFormat="1" ht="15" customHeight="1">
      <c r="A22" s="705">
        <v>1</v>
      </c>
      <c r="B22" s="607" t="s">
        <v>334</v>
      </c>
      <c r="C22" s="531">
        <f>F22/((D22+E22)/2)</f>
        <v>206.24</v>
      </c>
      <c r="D22" s="705">
        <v>1907.76</v>
      </c>
      <c r="E22" s="705">
        <v>1907.76</v>
      </c>
      <c r="F22" s="88">
        <f>216587.99+176864.74</f>
        <v>393452.73</v>
      </c>
      <c r="G22" s="531">
        <f>J22/((H22+I22)/2)</f>
        <v>200.95</v>
      </c>
      <c r="H22" s="705">
        <v>1907.76</v>
      </c>
      <c r="I22" s="705">
        <v>1976.42</v>
      </c>
      <c r="J22" s="88">
        <f>218616.21+171637.66</f>
        <v>390253.87</v>
      </c>
      <c r="K22" s="531">
        <f t="shared" ref="K22:K23" si="3">N22/((L22+M22)/2)</f>
        <v>197.17</v>
      </c>
      <c r="L22" s="705">
        <v>1976.42</v>
      </c>
      <c r="M22" s="705">
        <v>1976.42</v>
      </c>
      <c r="N22" s="88">
        <f>224382.96+165305.32</f>
        <v>389688.28</v>
      </c>
      <c r="O22" s="591"/>
      <c r="Q22" s="479">
        <f>F57</f>
        <v>118694</v>
      </c>
      <c r="R22" s="479">
        <f>J57</f>
        <v>121307.54</v>
      </c>
      <c r="S22" s="479">
        <f>N57</f>
        <v>124473.71</v>
      </c>
    </row>
    <row r="23" spans="1:19" s="464" customFormat="1" ht="15" customHeight="1">
      <c r="A23" s="705">
        <v>2</v>
      </c>
      <c r="B23" s="607" t="s">
        <v>335</v>
      </c>
      <c r="C23" s="530">
        <f>F23/((D23+E23)/2)</f>
        <v>50009.07</v>
      </c>
      <c r="D23" s="705">
        <v>6.64</v>
      </c>
      <c r="E23" s="705">
        <v>6.84</v>
      </c>
      <c r="F23" s="88">
        <v>337061.12</v>
      </c>
      <c r="G23" s="531">
        <f t="shared" ref="G23" si="4">J23/((H23+I23)/2)</f>
        <v>50009.73</v>
      </c>
      <c r="H23" s="705">
        <v>6.84</v>
      </c>
      <c r="I23" s="705">
        <v>7.05</v>
      </c>
      <c r="J23" s="88">
        <v>347317.57</v>
      </c>
      <c r="K23" s="531">
        <f t="shared" si="3"/>
        <v>50008.69</v>
      </c>
      <c r="L23" s="705">
        <v>7.05</v>
      </c>
      <c r="M23" s="705">
        <v>7.26</v>
      </c>
      <c r="N23" s="88">
        <v>357812.18</v>
      </c>
      <c r="O23" s="591"/>
      <c r="Q23" s="479">
        <f>SUM(Q21:Q22)</f>
        <v>920264</v>
      </c>
      <c r="R23" s="479">
        <f t="shared" ref="R23:S23" si="5">SUM(R21:R22)</f>
        <v>931405.93</v>
      </c>
      <c r="S23" s="479">
        <f t="shared" si="5"/>
        <v>944903.85</v>
      </c>
    </row>
    <row r="24" spans="1:19" s="464" customFormat="1" ht="25.5">
      <c r="A24" s="705">
        <v>3</v>
      </c>
      <c r="B24" s="607" t="s">
        <v>336</v>
      </c>
      <c r="C24" s="531"/>
      <c r="D24" s="599"/>
      <c r="E24" s="599"/>
      <c r="F24" s="88"/>
      <c r="G24" s="531"/>
      <c r="H24" s="705"/>
      <c r="I24" s="705"/>
      <c r="J24" s="88"/>
      <c r="K24" s="531"/>
      <c r="L24" s="705"/>
      <c r="M24" s="705"/>
      <c r="N24" s="88"/>
      <c r="O24" s="591"/>
      <c r="Q24" s="479"/>
    </row>
    <row r="25" spans="1:19" s="464" customFormat="1">
      <c r="A25" s="705">
        <v>3</v>
      </c>
      <c r="B25" s="607" t="s">
        <v>338</v>
      </c>
      <c r="C25" s="531">
        <f>F25/((D25+E25)/2)</f>
        <v>324.41000000000003</v>
      </c>
      <c r="D25" s="599">
        <v>49.57</v>
      </c>
      <c r="E25" s="599">
        <v>51.25</v>
      </c>
      <c r="F25" s="88">
        <v>16353.34</v>
      </c>
      <c r="G25" s="531">
        <f>J25/((H25+I25)/2)</f>
        <v>324.58999999999997</v>
      </c>
      <c r="H25" s="599">
        <v>51.25</v>
      </c>
      <c r="I25" s="599">
        <v>52.13</v>
      </c>
      <c r="J25" s="88">
        <v>16778.02</v>
      </c>
      <c r="K25" s="531">
        <f>N25/((L25+M25)/2)</f>
        <v>324.77999999999997</v>
      </c>
      <c r="L25" s="599">
        <v>52.13</v>
      </c>
      <c r="M25" s="599">
        <v>52.13</v>
      </c>
      <c r="N25" s="88">
        <v>16930.78</v>
      </c>
      <c r="O25" s="606"/>
      <c r="Q25" s="479"/>
    </row>
    <row r="26" spans="1:19" s="464" customFormat="1" ht="25.5">
      <c r="A26" s="705">
        <v>5</v>
      </c>
      <c r="B26" s="607" t="s">
        <v>339</v>
      </c>
      <c r="C26" s="531"/>
      <c r="D26" s="599"/>
      <c r="E26" s="599"/>
      <c r="F26" s="88"/>
      <c r="G26" s="531"/>
      <c r="H26" s="599"/>
      <c r="I26" s="599"/>
      <c r="J26" s="88"/>
      <c r="K26" s="531"/>
      <c r="L26" s="599"/>
      <c r="M26" s="599"/>
      <c r="N26" s="88"/>
      <c r="O26" s="606"/>
      <c r="Q26" s="479"/>
    </row>
    <row r="27" spans="1:19" s="464" customFormat="1">
      <c r="A27" s="705">
        <v>4</v>
      </c>
      <c r="B27" s="607" t="s">
        <v>340</v>
      </c>
      <c r="C27" s="531">
        <f>F27/((D27+E27)/2)</f>
        <v>324.52999999999997</v>
      </c>
      <c r="D27" s="599">
        <v>53.74</v>
      </c>
      <c r="E27" s="608">
        <v>54.94</v>
      </c>
      <c r="F27" s="284">
        <v>17635.11</v>
      </c>
      <c r="G27" s="609">
        <f>J27/((H27+I27)/2)</f>
        <v>324.49</v>
      </c>
      <c r="H27" s="608">
        <v>54.94</v>
      </c>
      <c r="I27" s="599">
        <v>56.38</v>
      </c>
      <c r="J27" s="88">
        <v>18061.13</v>
      </c>
      <c r="K27" s="531">
        <f>N27/((L27+M27)/2)</f>
        <v>324.77999999999997</v>
      </c>
      <c r="L27" s="608">
        <v>56.38</v>
      </c>
      <c r="M27" s="599">
        <v>56.38</v>
      </c>
      <c r="N27" s="88">
        <v>18311.099999999999</v>
      </c>
      <c r="O27" s="606"/>
      <c r="Q27" s="479"/>
    </row>
    <row r="28" spans="1:19" s="464" customFormat="1">
      <c r="A28" s="705">
        <v>5</v>
      </c>
      <c r="B28" s="607" t="s">
        <v>341</v>
      </c>
      <c r="C28" s="531">
        <v>37.93</v>
      </c>
      <c r="D28" s="599">
        <v>728.95</v>
      </c>
      <c r="E28" s="608">
        <v>753.76</v>
      </c>
      <c r="F28" s="284">
        <v>37067.699999999997</v>
      </c>
      <c r="G28" s="609">
        <f>J28/((H28+I28)/2)</f>
        <v>50.84</v>
      </c>
      <c r="H28" s="608">
        <v>728.95</v>
      </c>
      <c r="I28" s="599">
        <v>753.76</v>
      </c>
      <c r="J28" s="88">
        <v>37687.800000000003</v>
      </c>
      <c r="K28" s="531">
        <f>N28/((L28+M28)/2)</f>
        <v>50.84</v>
      </c>
      <c r="L28" s="608">
        <v>728.95</v>
      </c>
      <c r="M28" s="599">
        <v>753.76</v>
      </c>
      <c r="N28" s="88">
        <v>37687.800000000003</v>
      </c>
      <c r="O28" s="606"/>
      <c r="Q28" s="479"/>
    </row>
    <row r="29" spans="1:19" s="464" customFormat="1">
      <c r="A29" s="595"/>
      <c r="B29" s="610" t="s">
        <v>254</v>
      </c>
      <c r="C29" s="597" t="s">
        <v>25</v>
      </c>
      <c r="D29" s="597" t="s">
        <v>25</v>
      </c>
      <c r="E29" s="598" t="s">
        <v>25</v>
      </c>
      <c r="F29" s="284">
        <f>SUM(F22:F28)</f>
        <v>801570</v>
      </c>
      <c r="G29" s="598" t="s">
        <v>25</v>
      </c>
      <c r="H29" s="598" t="s">
        <v>25</v>
      </c>
      <c r="I29" s="597" t="s">
        <v>25</v>
      </c>
      <c r="J29" s="88">
        <f>SUM(J22:J28)</f>
        <v>810098.39</v>
      </c>
      <c r="K29" s="597" t="s">
        <v>25</v>
      </c>
      <c r="L29" s="598" t="s">
        <v>25</v>
      </c>
      <c r="M29" s="597" t="s">
        <v>25</v>
      </c>
      <c r="N29" s="88">
        <f>SUM(N22:N28)</f>
        <v>820430.14</v>
      </c>
      <c r="O29" s="606"/>
    </row>
    <row r="30" spans="1:19" s="464" customFormat="1" ht="15.75">
      <c r="A30" s="586"/>
      <c r="B30" s="538"/>
      <c r="C30" s="538"/>
      <c r="D30" s="538"/>
      <c r="E30" s="538"/>
      <c r="F30" s="538"/>
      <c r="G30" s="538"/>
      <c r="H30" s="538"/>
      <c r="I30" s="538"/>
      <c r="J30" s="538"/>
      <c r="K30" s="538"/>
      <c r="L30" s="538"/>
      <c r="M30" s="538"/>
      <c r="N30" s="538"/>
      <c r="O30" s="591"/>
      <c r="Q30" s="462" t="s">
        <v>495</v>
      </c>
    </row>
    <row r="31" spans="1:19" s="463" customFormat="1">
      <c r="A31" s="543" t="s">
        <v>240</v>
      </c>
      <c r="B31" s="544"/>
      <c r="C31" s="544"/>
      <c r="D31" s="544"/>
      <c r="E31" s="544"/>
      <c r="F31" s="544"/>
      <c r="G31" s="544"/>
      <c r="H31" s="544"/>
      <c r="I31" s="544"/>
      <c r="J31" s="544"/>
      <c r="K31" s="544"/>
      <c r="L31" s="544"/>
      <c r="M31" s="544"/>
      <c r="N31" s="544"/>
      <c r="O31" s="591"/>
    </row>
    <row r="32" spans="1:19" s="464" customFormat="1">
      <c r="A32" s="374" t="s">
        <v>241</v>
      </c>
      <c r="B32" s="538"/>
      <c r="C32" s="538"/>
      <c r="D32" s="538"/>
      <c r="E32" s="538"/>
      <c r="F32" s="538"/>
      <c r="G32" s="538"/>
      <c r="H32" s="538"/>
      <c r="I32" s="538"/>
      <c r="J32" s="538"/>
      <c r="K32" s="538"/>
      <c r="L32" s="538"/>
      <c r="M32" s="538"/>
      <c r="N32" s="538"/>
      <c r="O32" s="591"/>
    </row>
    <row r="33" spans="1:19" s="464" customFormat="1">
      <c r="A33" s="374" t="s">
        <v>242</v>
      </c>
      <c r="B33" s="538"/>
      <c r="C33" s="538"/>
      <c r="D33" s="538"/>
      <c r="E33" s="538"/>
      <c r="F33" s="538"/>
      <c r="G33" s="538"/>
      <c r="H33" s="538"/>
      <c r="I33" s="538"/>
      <c r="J33" s="538"/>
      <c r="K33" s="538"/>
      <c r="L33" s="538"/>
      <c r="M33" s="538"/>
      <c r="N33" s="538"/>
      <c r="O33" s="591"/>
    </row>
    <row r="34" spans="1:19" s="464" customFormat="1">
      <c r="A34" s="374" t="s">
        <v>580</v>
      </c>
      <c r="B34" s="538"/>
      <c r="C34" s="538"/>
      <c r="D34" s="538"/>
      <c r="E34" s="538"/>
      <c r="F34" s="538"/>
      <c r="G34" s="538"/>
      <c r="H34" s="538"/>
      <c r="I34" s="538"/>
      <c r="J34" s="538"/>
      <c r="K34" s="538"/>
      <c r="L34" s="538"/>
      <c r="M34" s="538"/>
      <c r="N34" s="538"/>
      <c r="O34" s="591"/>
    </row>
    <row r="35" spans="1:19" s="464" customFormat="1">
      <c r="A35" s="1065" t="s">
        <v>176</v>
      </c>
      <c r="B35" s="1065" t="s">
        <v>9</v>
      </c>
      <c r="C35" s="1065" t="s">
        <v>213</v>
      </c>
      <c r="D35" s="1065"/>
      <c r="E35" s="1065"/>
      <c r="F35" s="1065"/>
      <c r="G35" s="1065" t="s">
        <v>214</v>
      </c>
      <c r="H35" s="1065"/>
      <c r="I35" s="1065"/>
      <c r="J35" s="1065"/>
      <c r="K35" s="1065" t="s">
        <v>215</v>
      </c>
      <c r="L35" s="1065"/>
      <c r="M35" s="1065"/>
      <c r="N35" s="1065"/>
      <c r="O35" s="591"/>
    </row>
    <row r="36" spans="1:19" s="464" customFormat="1" ht="27" customHeight="1">
      <c r="A36" s="1065"/>
      <c r="B36" s="1065"/>
      <c r="C36" s="1065" t="s">
        <v>328</v>
      </c>
      <c r="D36" s="1066" t="s">
        <v>329</v>
      </c>
      <c r="E36" s="1067"/>
      <c r="F36" s="1065" t="s">
        <v>247</v>
      </c>
      <c r="G36" s="1065" t="s">
        <v>328</v>
      </c>
      <c r="H36" s="1066" t="s">
        <v>329</v>
      </c>
      <c r="I36" s="1067"/>
      <c r="J36" s="1065" t="s">
        <v>247</v>
      </c>
      <c r="K36" s="1065" t="s">
        <v>328</v>
      </c>
      <c r="L36" s="1066" t="s">
        <v>329</v>
      </c>
      <c r="M36" s="1067"/>
      <c r="N36" s="1065" t="s">
        <v>247</v>
      </c>
      <c r="O36" s="591"/>
    </row>
    <row r="37" spans="1:19" s="464" customFormat="1" ht="30.75" customHeight="1">
      <c r="A37" s="1065"/>
      <c r="B37" s="1065"/>
      <c r="C37" s="1065"/>
      <c r="D37" s="705" t="s">
        <v>342</v>
      </c>
      <c r="E37" s="705" t="s">
        <v>343</v>
      </c>
      <c r="F37" s="1065"/>
      <c r="G37" s="1065"/>
      <c r="H37" s="705" t="s">
        <v>343</v>
      </c>
      <c r="I37" s="705" t="s">
        <v>344</v>
      </c>
      <c r="J37" s="1065"/>
      <c r="K37" s="1065"/>
      <c r="L37" s="1066" t="s">
        <v>333</v>
      </c>
      <c r="M37" s="1067"/>
      <c r="N37" s="1065"/>
      <c r="O37" s="591"/>
    </row>
    <row r="38" spans="1:19" s="464" customFormat="1" ht="15.75" customHeight="1">
      <c r="A38" s="705">
        <v>1</v>
      </c>
      <c r="B38" s="705" t="s">
        <v>334</v>
      </c>
      <c r="C38" s="531">
        <f t="shared" si="0"/>
        <v>0</v>
      </c>
      <c r="D38" s="705">
        <v>1802.36</v>
      </c>
      <c r="E38" s="705">
        <v>1802.36</v>
      </c>
      <c r="F38" s="88"/>
      <c r="G38" s="531">
        <f t="shared" si="1"/>
        <v>0</v>
      </c>
      <c r="H38" s="705">
        <v>1802.36</v>
      </c>
      <c r="I38" s="705">
        <v>1867.21</v>
      </c>
      <c r="J38" s="88"/>
      <c r="K38" s="531">
        <f t="shared" si="2"/>
        <v>0</v>
      </c>
      <c r="L38" s="1066">
        <v>1867.21</v>
      </c>
      <c r="M38" s="1067"/>
      <c r="N38" s="88"/>
      <c r="O38" s="591"/>
      <c r="P38" s="479"/>
      <c r="Q38" s="479"/>
      <c r="R38" s="479"/>
      <c r="S38" s="479"/>
    </row>
    <row r="39" spans="1:19" s="464" customFormat="1" ht="15.75" customHeight="1">
      <c r="A39" s="705">
        <v>2</v>
      </c>
      <c r="B39" s="705" t="s">
        <v>335</v>
      </c>
      <c r="C39" s="531">
        <f t="shared" si="0"/>
        <v>0</v>
      </c>
      <c r="D39" s="705">
        <v>6.29</v>
      </c>
      <c r="E39" s="705">
        <v>6.29</v>
      </c>
      <c r="F39" s="88"/>
      <c r="G39" s="531">
        <f t="shared" si="1"/>
        <v>0</v>
      </c>
      <c r="H39" s="705">
        <v>6.29</v>
      </c>
      <c r="I39" s="705">
        <v>6.29</v>
      </c>
      <c r="J39" s="88"/>
      <c r="K39" s="531">
        <f t="shared" si="2"/>
        <v>0</v>
      </c>
      <c r="L39" s="1066">
        <v>6.29</v>
      </c>
      <c r="M39" s="1067"/>
      <c r="N39" s="88"/>
      <c r="O39" s="591"/>
    </row>
    <row r="40" spans="1:19" s="464" customFormat="1" ht="25.5">
      <c r="A40" s="705">
        <v>3</v>
      </c>
      <c r="B40" s="705" t="s">
        <v>336</v>
      </c>
      <c r="C40" s="531">
        <f t="shared" si="0"/>
        <v>0</v>
      </c>
      <c r="D40" s="599">
        <v>1802.36</v>
      </c>
      <c r="E40" s="599">
        <v>1802.36</v>
      </c>
      <c r="F40" s="88"/>
      <c r="G40" s="531">
        <f t="shared" si="1"/>
        <v>0</v>
      </c>
      <c r="H40" s="705">
        <v>1802.36</v>
      </c>
      <c r="I40" s="705">
        <v>1867.21</v>
      </c>
      <c r="J40" s="88"/>
      <c r="K40" s="531">
        <f t="shared" si="2"/>
        <v>0</v>
      </c>
      <c r="L40" s="1066">
        <v>1867.21</v>
      </c>
      <c r="M40" s="1067"/>
      <c r="N40" s="88"/>
      <c r="O40" s="591"/>
    </row>
    <row r="41" spans="1:19" s="464" customFormat="1">
      <c r="A41" s="595"/>
      <c r="B41" s="596" t="s">
        <v>254</v>
      </c>
      <c r="C41" s="597" t="s">
        <v>25</v>
      </c>
      <c r="D41" s="597" t="s">
        <v>25</v>
      </c>
      <c r="E41" s="597" t="s">
        <v>25</v>
      </c>
      <c r="F41" s="88">
        <f>ROUND(SUM(F38:F40),2)</f>
        <v>0</v>
      </c>
      <c r="G41" s="597" t="s">
        <v>25</v>
      </c>
      <c r="H41" s="597" t="s">
        <v>25</v>
      </c>
      <c r="I41" s="597" t="s">
        <v>25</v>
      </c>
      <c r="J41" s="88">
        <f>ROUND(SUM(J38:J40),2)</f>
        <v>0</v>
      </c>
      <c r="K41" s="597" t="s">
        <v>25</v>
      </c>
      <c r="L41" s="597" t="s">
        <v>25</v>
      </c>
      <c r="M41" s="597" t="s">
        <v>25</v>
      </c>
      <c r="N41" s="88">
        <f>ROUND(SUM(N38:N40),2)</f>
        <v>0</v>
      </c>
      <c r="O41" s="591"/>
    </row>
    <row r="42" spans="1:19" s="464" customFormat="1" ht="15.75">
      <c r="A42" s="586"/>
      <c r="B42" s="538"/>
      <c r="C42" s="538"/>
      <c r="D42" s="538"/>
      <c r="E42" s="538"/>
      <c r="F42" s="538"/>
      <c r="G42" s="538"/>
      <c r="H42" s="538"/>
      <c r="I42" s="538"/>
      <c r="J42" s="538"/>
      <c r="K42" s="538"/>
      <c r="L42" s="538"/>
      <c r="M42" s="538"/>
      <c r="N42" s="538"/>
      <c r="O42" s="591"/>
    </row>
    <row r="43" spans="1:19" s="464" customFormat="1">
      <c r="A43" s="543" t="s">
        <v>240</v>
      </c>
      <c r="B43" s="544"/>
      <c r="C43" s="544"/>
      <c r="D43" s="544"/>
      <c r="E43" s="544"/>
      <c r="F43" s="544"/>
      <c r="G43" s="544"/>
      <c r="H43" s="544"/>
      <c r="I43" s="544"/>
      <c r="J43" s="544"/>
      <c r="K43" s="544"/>
      <c r="L43" s="544"/>
      <c r="M43" s="544"/>
      <c r="N43" s="544"/>
      <c r="O43" s="591"/>
      <c r="P43" s="463"/>
      <c r="Q43" s="463"/>
      <c r="R43" s="463"/>
      <c r="S43" s="463"/>
    </row>
    <row r="44" spans="1:19" s="464" customFormat="1">
      <c r="A44" s="374" t="s">
        <v>241</v>
      </c>
      <c r="B44" s="538"/>
      <c r="C44" s="538"/>
      <c r="D44" s="538"/>
      <c r="E44" s="538"/>
      <c r="F44" s="538"/>
      <c r="G44" s="538"/>
      <c r="H44" s="538"/>
      <c r="I44" s="538"/>
      <c r="J44" s="538"/>
      <c r="K44" s="538"/>
      <c r="L44" s="538"/>
      <c r="M44" s="538"/>
      <c r="N44" s="538"/>
      <c r="O44" s="591"/>
    </row>
    <row r="45" spans="1:19" s="464" customFormat="1">
      <c r="A45" s="374" t="s">
        <v>242</v>
      </c>
      <c r="B45" s="538"/>
      <c r="C45" s="538"/>
      <c r="D45" s="538"/>
      <c r="E45" s="538"/>
      <c r="F45" s="538"/>
      <c r="G45" s="538"/>
      <c r="H45" s="538"/>
      <c r="I45" s="538"/>
      <c r="J45" s="538"/>
      <c r="K45" s="538"/>
      <c r="L45" s="538"/>
      <c r="M45" s="538"/>
      <c r="N45" s="538"/>
      <c r="O45" s="591"/>
    </row>
    <row r="46" spans="1:19" s="464" customFormat="1">
      <c r="A46" s="448" t="s">
        <v>337</v>
      </c>
      <c r="B46" s="604"/>
      <c r="C46" s="604"/>
      <c r="D46" s="604"/>
      <c r="E46" s="604"/>
      <c r="F46" s="604"/>
      <c r="G46" s="604"/>
      <c r="H46" s="604"/>
      <c r="I46" s="604"/>
      <c r="J46" s="604"/>
      <c r="K46" s="604"/>
      <c r="L46" s="604"/>
      <c r="M46" s="604"/>
      <c r="N46" s="604"/>
      <c r="O46" s="591"/>
    </row>
    <row r="47" spans="1:19" s="464" customFormat="1" ht="15" customHeight="1">
      <c r="A47" s="1068" t="s">
        <v>176</v>
      </c>
      <c r="B47" s="1068" t="s">
        <v>9</v>
      </c>
      <c r="C47" s="1066" t="s">
        <v>559</v>
      </c>
      <c r="D47" s="1069"/>
      <c r="E47" s="1069"/>
      <c r="F47" s="1067"/>
      <c r="G47" s="1066" t="s">
        <v>560</v>
      </c>
      <c r="H47" s="1069"/>
      <c r="I47" s="1069"/>
      <c r="J47" s="1067"/>
      <c r="K47" s="1066" t="s">
        <v>561</v>
      </c>
      <c r="L47" s="1069"/>
      <c r="M47" s="1069"/>
      <c r="N47" s="1067"/>
      <c r="O47" s="606"/>
    </row>
    <row r="48" spans="1:19" s="464" customFormat="1" ht="23.25" customHeight="1">
      <c r="A48" s="1065"/>
      <c r="B48" s="1065"/>
      <c r="C48" s="1068" t="s">
        <v>328</v>
      </c>
      <c r="D48" s="1066" t="s">
        <v>329</v>
      </c>
      <c r="E48" s="1067"/>
      <c r="F48" s="1068" t="s">
        <v>247</v>
      </c>
      <c r="G48" s="1068" t="s">
        <v>328</v>
      </c>
      <c r="H48" s="1066" t="s">
        <v>329</v>
      </c>
      <c r="I48" s="1067"/>
      <c r="J48" s="1068" t="s">
        <v>247</v>
      </c>
      <c r="K48" s="1068" t="s">
        <v>328</v>
      </c>
      <c r="L48" s="1066" t="s">
        <v>329</v>
      </c>
      <c r="M48" s="1067"/>
      <c r="N48" s="1068" t="s">
        <v>247</v>
      </c>
      <c r="O48" s="606"/>
    </row>
    <row r="49" spans="1:19" s="464" customFormat="1" ht="25.5">
      <c r="A49" s="1065"/>
      <c r="B49" s="1065"/>
      <c r="C49" s="1065"/>
      <c r="D49" s="705" t="s">
        <v>574</v>
      </c>
      <c r="E49" s="705" t="s">
        <v>575</v>
      </c>
      <c r="F49" s="1065"/>
      <c r="G49" s="1065"/>
      <c r="H49" s="705" t="s">
        <v>576</v>
      </c>
      <c r="I49" s="705" t="s">
        <v>577</v>
      </c>
      <c r="J49" s="1065"/>
      <c r="K49" s="1065"/>
      <c r="L49" s="705" t="s">
        <v>578</v>
      </c>
      <c r="M49" s="705" t="s">
        <v>579</v>
      </c>
      <c r="N49" s="1065"/>
      <c r="O49" s="606"/>
    </row>
    <row r="50" spans="1:19" s="464" customFormat="1" ht="15.75" customHeight="1">
      <c r="A50" s="705">
        <v>1</v>
      </c>
      <c r="B50" s="607" t="s">
        <v>334</v>
      </c>
      <c r="C50" s="531">
        <f>F50/((D50+E50)/2)</f>
        <v>62.22</v>
      </c>
      <c r="D50" s="705">
        <v>1907.76</v>
      </c>
      <c r="E50" s="705">
        <v>1907.76</v>
      </c>
      <c r="F50" s="88">
        <v>118694</v>
      </c>
      <c r="G50" s="531">
        <f>J50/((H50+I50)/2)</f>
        <v>62.46</v>
      </c>
      <c r="H50" s="705">
        <v>1907.76</v>
      </c>
      <c r="I50" s="705">
        <v>1976.42</v>
      </c>
      <c r="J50" s="88">
        <v>121307.54</v>
      </c>
      <c r="K50" s="531">
        <f>N50/((L50+M50)/2)</f>
        <v>62.98</v>
      </c>
      <c r="L50" s="705">
        <v>1976.42</v>
      </c>
      <c r="M50" s="705">
        <v>1976.42</v>
      </c>
      <c r="N50" s="88">
        <v>124473.71</v>
      </c>
      <c r="O50" s="591"/>
      <c r="P50" s="479"/>
      <c r="Q50" s="479"/>
      <c r="R50" s="479"/>
      <c r="S50" s="479"/>
    </row>
    <row r="51" spans="1:19" s="464" customFormat="1" ht="15.75" customHeight="1">
      <c r="A51" s="705">
        <v>2</v>
      </c>
      <c r="B51" s="607" t="s">
        <v>335</v>
      </c>
      <c r="C51" s="531">
        <v>0</v>
      </c>
      <c r="D51" s="705">
        <v>6.64</v>
      </c>
      <c r="E51" s="705">
        <v>6.84</v>
      </c>
      <c r="F51" s="88">
        <v>0</v>
      </c>
      <c r="G51" s="531">
        <v>0</v>
      </c>
      <c r="H51" s="705">
        <v>6.84</v>
      </c>
      <c r="I51" s="705">
        <v>7.05</v>
      </c>
      <c r="J51" s="88">
        <v>0</v>
      </c>
      <c r="K51" s="531">
        <v>0</v>
      </c>
      <c r="L51" s="705">
        <v>7.05</v>
      </c>
      <c r="M51" s="705">
        <v>7.26</v>
      </c>
      <c r="N51" s="88">
        <v>0</v>
      </c>
      <c r="O51" s="591"/>
    </row>
    <row r="52" spans="1:19" s="464" customFormat="1" ht="25.5">
      <c r="A52" s="705">
        <v>3</v>
      </c>
      <c r="B52" s="607" t="s">
        <v>336</v>
      </c>
      <c r="C52" s="531"/>
      <c r="D52" s="599"/>
      <c r="E52" s="599"/>
      <c r="F52" s="88">
        <v>0</v>
      </c>
      <c r="G52" s="531"/>
      <c r="H52" s="705"/>
      <c r="I52" s="705"/>
      <c r="J52" s="88">
        <v>0</v>
      </c>
      <c r="K52" s="531"/>
      <c r="L52" s="705"/>
      <c r="M52" s="705"/>
      <c r="N52" s="88">
        <v>0</v>
      </c>
      <c r="O52" s="591"/>
    </row>
    <row r="53" spans="1:19" s="464" customFormat="1">
      <c r="A53" s="705">
        <v>3</v>
      </c>
      <c r="B53" s="607" t="s">
        <v>338</v>
      </c>
      <c r="C53" s="531">
        <v>0</v>
      </c>
      <c r="D53" s="599">
        <v>49.57</v>
      </c>
      <c r="E53" s="599">
        <v>51.25</v>
      </c>
      <c r="F53" s="88">
        <v>0</v>
      </c>
      <c r="G53" s="531">
        <v>0</v>
      </c>
      <c r="H53" s="599">
        <v>51.25</v>
      </c>
      <c r="I53" s="599">
        <v>52.13</v>
      </c>
      <c r="J53" s="88">
        <v>0</v>
      </c>
      <c r="K53" s="531">
        <v>0</v>
      </c>
      <c r="L53" s="599">
        <v>52.13</v>
      </c>
      <c r="M53" s="599">
        <v>52.13</v>
      </c>
      <c r="N53" s="88">
        <v>0</v>
      </c>
      <c r="O53" s="606"/>
    </row>
    <row r="54" spans="1:19" s="464" customFormat="1" ht="25.5">
      <c r="A54" s="705">
        <v>5</v>
      </c>
      <c r="B54" s="607" t="s">
        <v>339</v>
      </c>
      <c r="C54" s="531"/>
      <c r="D54" s="599"/>
      <c r="E54" s="599"/>
      <c r="F54" s="88"/>
      <c r="G54" s="531"/>
      <c r="H54" s="599"/>
      <c r="I54" s="599"/>
      <c r="J54" s="88"/>
      <c r="K54" s="531"/>
      <c r="L54" s="599"/>
      <c r="M54" s="599"/>
      <c r="N54" s="88"/>
      <c r="O54" s="606"/>
    </row>
    <row r="55" spans="1:19" s="464" customFormat="1">
      <c r="A55" s="705">
        <v>4</v>
      </c>
      <c r="B55" s="607" t="s">
        <v>340</v>
      </c>
      <c r="C55" s="531">
        <v>0</v>
      </c>
      <c r="D55" s="599">
        <v>53.74</v>
      </c>
      <c r="E55" s="599">
        <v>54.94</v>
      </c>
      <c r="F55" s="88">
        <v>0</v>
      </c>
      <c r="G55" s="531">
        <v>0</v>
      </c>
      <c r="H55" s="599">
        <v>54.94</v>
      </c>
      <c r="I55" s="599">
        <v>56.38</v>
      </c>
      <c r="J55" s="88">
        <v>0</v>
      </c>
      <c r="K55" s="531">
        <v>0</v>
      </c>
      <c r="L55" s="608">
        <v>56.38</v>
      </c>
      <c r="M55" s="599">
        <v>56.38</v>
      </c>
      <c r="N55" s="88">
        <v>0</v>
      </c>
      <c r="O55" s="606"/>
    </row>
    <row r="56" spans="1:19" s="464" customFormat="1">
      <c r="A56" s="705">
        <v>5</v>
      </c>
      <c r="B56" s="607" t="s">
        <v>341</v>
      </c>
      <c r="C56" s="531">
        <v>0</v>
      </c>
      <c r="D56" s="599">
        <v>728.95</v>
      </c>
      <c r="E56" s="599">
        <v>753.76</v>
      </c>
      <c r="F56" s="88">
        <v>0</v>
      </c>
      <c r="G56" s="531">
        <v>0</v>
      </c>
      <c r="H56" s="599">
        <v>728.95</v>
      </c>
      <c r="I56" s="599">
        <v>753.76</v>
      </c>
      <c r="J56" s="88">
        <v>0</v>
      </c>
      <c r="K56" s="531">
        <v>0</v>
      </c>
      <c r="L56" s="608">
        <v>728.95</v>
      </c>
      <c r="M56" s="599">
        <v>753.76</v>
      </c>
      <c r="N56" s="88">
        <v>0</v>
      </c>
      <c r="O56" s="606"/>
    </row>
    <row r="57" spans="1:19" s="464" customFormat="1">
      <c r="A57" s="595"/>
      <c r="B57" s="610" t="s">
        <v>254</v>
      </c>
      <c r="C57" s="597" t="s">
        <v>25</v>
      </c>
      <c r="D57" s="597" t="s">
        <v>25</v>
      </c>
      <c r="E57" s="597" t="s">
        <v>25</v>
      </c>
      <c r="F57" s="88">
        <f>ROUND(SUM(F50:F56),2)</f>
        <v>118694</v>
      </c>
      <c r="G57" s="597" t="s">
        <v>25</v>
      </c>
      <c r="H57" s="597" t="s">
        <v>25</v>
      </c>
      <c r="I57" s="597" t="s">
        <v>25</v>
      </c>
      <c r="J57" s="88">
        <f>ROUND(SUM(J50:J56),2)</f>
        <v>121307.54</v>
      </c>
      <c r="K57" s="597" t="s">
        <v>25</v>
      </c>
      <c r="L57" s="598" t="s">
        <v>25</v>
      </c>
      <c r="M57" s="597" t="s">
        <v>25</v>
      </c>
      <c r="N57" s="88">
        <f>ROUND(SUM(N50:N56),2)</f>
        <v>124473.71</v>
      </c>
      <c r="O57" s="606"/>
    </row>
    <row r="58" spans="1:19" ht="15.75">
      <c r="A58" s="586"/>
      <c r="B58" s="538"/>
      <c r="C58" s="538"/>
      <c r="D58" s="538"/>
      <c r="E58" s="538"/>
      <c r="F58" s="538"/>
      <c r="G58" s="538"/>
      <c r="H58" s="538"/>
      <c r="I58" s="538"/>
      <c r="J58" s="538"/>
      <c r="K58" s="538"/>
      <c r="L58" s="538"/>
      <c r="M58" s="538"/>
      <c r="N58" s="538"/>
      <c r="O58" s="591"/>
    </row>
    <row r="59" spans="1:19">
      <c r="A59" s="538"/>
      <c r="B59" s="538"/>
      <c r="C59" s="538"/>
      <c r="D59" s="538"/>
      <c r="E59" s="538"/>
      <c r="F59" s="538"/>
      <c r="G59" s="538"/>
      <c r="H59" s="538"/>
      <c r="I59" s="538"/>
      <c r="J59" s="538"/>
      <c r="K59" s="538"/>
      <c r="L59" s="538"/>
      <c r="M59" s="538"/>
      <c r="N59" s="538"/>
      <c r="O59" s="591"/>
    </row>
    <row r="60" spans="1:19">
      <c r="A60" s="611" t="s">
        <v>240</v>
      </c>
      <c r="B60" s="611"/>
      <c r="C60" s="611"/>
      <c r="D60" s="611"/>
      <c r="E60" s="611"/>
      <c r="F60" s="611"/>
      <c r="G60" s="611"/>
      <c r="H60" s="611"/>
      <c r="I60" s="611"/>
      <c r="J60" s="611"/>
      <c r="K60" s="611"/>
      <c r="L60" s="611"/>
      <c r="M60" s="538"/>
      <c r="N60" s="538"/>
      <c r="O60" s="591"/>
    </row>
    <row r="61" spans="1:19">
      <c r="A61" s="374" t="s">
        <v>241</v>
      </c>
      <c r="B61" s="374"/>
      <c r="C61" s="374"/>
      <c r="D61" s="374"/>
      <c r="E61" s="374"/>
      <c r="F61" s="374"/>
      <c r="G61" s="374"/>
      <c r="H61" s="374"/>
      <c r="I61" s="374"/>
      <c r="J61" s="374"/>
      <c r="K61" s="374"/>
      <c r="L61" s="374"/>
      <c r="M61" s="538"/>
      <c r="N61" s="538"/>
      <c r="O61" s="538"/>
    </row>
    <row r="62" spans="1:19">
      <c r="A62" s="374" t="s">
        <v>242</v>
      </c>
      <c r="B62" s="374"/>
      <c r="C62" s="374"/>
      <c r="D62" s="374"/>
      <c r="E62" s="374"/>
      <c r="F62" s="374"/>
      <c r="G62" s="374"/>
      <c r="H62" s="374"/>
      <c r="I62" s="374"/>
      <c r="J62" s="374"/>
      <c r="K62" s="374"/>
      <c r="L62" s="374"/>
      <c r="M62" s="538"/>
      <c r="N62" s="538"/>
      <c r="O62" s="538"/>
    </row>
    <row r="63" spans="1:19">
      <c r="A63" s="583" t="s">
        <v>462</v>
      </c>
      <c r="B63" s="374"/>
      <c r="C63" s="374"/>
      <c r="D63" s="374"/>
      <c r="E63" s="374"/>
      <c r="F63" s="374"/>
      <c r="G63" s="374"/>
      <c r="H63" s="374"/>
      <c r="I63" s="374"/>
      <c r="J63" s="374"/>
      <c r="K63" s="374"/>
      <c r="L63" s="374"/>
      <c r="M63" s="538"/>
      <c r="N63" s="538"/>
      <c r="O63" s="538"/>
    </row>
    <row r="64" spans="1:19" ht="35.25" customHeight="1">
      <c r="A64" s="1065" t="s">
        <v>176</v>
      </c>
      <c r="B64" s="1065" t="s">
        <v>244</v>
      </c>
      <c r="C64" s="1065" t="s">
        <v>440</v>
      </c>
      <c r="D64" s="1065" t="s">
        <v>213</v>
      </c>
      <c r="E64" s="1065"/>
      <c r="F64" s="1065"/>
      <c r="G64" s="1065" t="s">
        <v>214</v>
      </c>
      <c r="H64" s="1065"/>
      <c r="I64" s="1065"/>
      <c r="J64" s="1065" t="s">
        <v>215</v>
      </c>
      <c r="K64" s="1065"/>
      <c r="L64" s="1065"/>
      <c r="M64" s="538"/>
      <c r="N64" s="538"/>
      <c r="O64" s="538"/>
    </row>
    <row r="65" spans="1:15">
      <c r="A65" s="1065"/>
      <c r="B65" s="1065"/>
      <c r="C65" s="1065"/>
      <c r="D65" s="1065" t="s">
        <v>419</v>
      </c>
      <c r="E65" s="1065" t="s">
        <v>307</v>
      </c>
      <c r="F65" s="1065" t="s">
        <v>247</v>
      </c>
      <c r="G65" s="1065" t="s">
        <v>419</v>
      </c>
      <c r="H65" s="705" t="s">
        <v>366</v>
      </c>
      <c r="I65" s="1065" t="s">
        <v>247</v>
      </c>
      <c r="J65" s="1065" t="s">
        <v>419</v>
      </c>
      <c r="K65" s="705" t="s">
        <v>366</v>
      </c>
      <c r="L65" s="1065" t="s">
        <v>247</v>
      </c>
      <c r="M65" s="538"/>
      <c r="N65" s="538"/>
      <c r="O65" s="538"/>
    </row>
    <row r="66" spans="1:15">
      <c r="A66" s="1065"/>
      <c r="B66" s="1065"/>
      <c r="C66" s="1065"/>
      <c r="D66" s="1065"/>
      <c r="E66" s="1065"/>
      <c r="F66" s="1065"/>
      <c r="G66" s="1065"/>
      <c r="H66" s="705" t="s">
        <v>434</v>
      </c>
      <c r="I66" s="1065"/>
      <c r="J66" s="1065"/>
      <c r="K66" s="705" t="s">
        <v>434</v>
      </c>
      <c r="L66" s="1065"/>
      <c r="M66" s="538"/>
      <c r="N66" s="538"/>
      <c r="O66" s="538"/>
    </row>
    <row r="67" spans="1:15" ht="25.5">
      <c r="A67" s="705">
        <v>1</v>
      </c>
      <c r="B67" s="607" t="s">
        <v>653</v>
      </c>
      <c r="C67" s="612" t="s">
        <v>465</v>
      </c>
      <c r="D67" s="612">
        <v>30</v>
      </c>
      <c r="E67" s="613">
        <f t="shared" ref="E67" si="6">F67/D67</f>
        <v>9800</v>
      </c>
      <c r="F67" s="613">
        <v>294000</v>
      </c>
      <c r="G67" s="614">
        <v>0</v>
      </c>
      <c r="H67" s="614">
        <v>0</v>
      </c>
      <c r="I67" s="614">
        <v>0</v>
      </c>
      <c r="J67" s="614">
        <v>0</v>
      </c>
      <c r="K67" s="614">
        <v>0</v>
      </c>
      <c r="L67" s="614">
        <v>0</v>
      </c>
      <c r="M67" s="538"/>
      <c r="N67" s="538"/>
      <c r="O67" s="538"/>
    </row>
    <row r="68" spans="1:15">
      <c r="A68" s="615"/>
      <c r="B68" s="616" t="s">
        <v>254</v>
      </c>
      <c r="C68" s="615"/>
      <c r="D68" s="617">
        <f>SUM(D66:D67)</f>
        <v>30</v>
      </c>
      <c r="E68" s="612" t="s">
        <v>25</v>
      </c>
      <c r="F68" s="613">
        <f>SUM(F65:F67)</f>
        <v>294000</v>
      </c>
      <c r="G68" s="612" t="s">
        <v>25</v>
      </c>
      <c r="H68" s="612" t="s">
        <v>25</v>
      </c>
      <c r="I68" s="612" t="s">
        <v>25</v>
      </c>
      <c r="J68" s="612" t="s">
        <v>25</v>
      </c>
      <c r="K68" s="612" t="s">
        <v>25</v>
      </c>
      <c r="L68" s="612" t="s">
        <v>25</v>
      </c>
      <c r="M68" s="538"/>
      <c r="N68" s="538"/>
      <c r="O68" s="538"/>
    </row>
    <row r="69" spans="1:15">
      <c r="A69" s="538"/>
      <c r="B69" s="538"/>
      <c r="C69" s="538"/>
      <c r="D69" s="538"/>
      <c r="E69" s="538"/>
      <c r="F69" s="538"/>
      <c r="G69" s="538"/>
      <c r="H69" s="538"/>
      <c r="I69" s="538"/>
      <c r="J69" s="538"/>
      <c r="K69" s="538"/>
      <c r="L69" s="538"/>
      <c r="M69" s="538"/>
      <c r="N69" s="538"/>
      <c r="O69" s="538"/>
    </row>
    <row r="70" spans="1:15">
      <c r="A70" s="538"/>
      <c r="B70" s="538"/>
      <c r="C70" s="538"/>
      <c r="D70" s="538"/>
      <c r="E70" s="538"/>
      <c r="F70" s="538"/>
      <c r="G70" s="538"/>
      <c r="H70" s="538"/>
      <c r="I70" s="538"/>
      <c r="J70" s="538"/>
      <c r="K70" s="538"/>
      <c r="L70" s="538"/>
      <c r="M70" s="538"/>
      <c r="N70" s="538"/>
      <c r="O70" s="538"/>
    </row>
    <row r="71" spans="1:15">
      <c r="A71" s="538"/>
      <c r="B71" s="538"/>
      <c r="C71" s="538"/>
      <c r="D71" s="538"/>
      <c r="E71" s="538"/>
      <c r="F71" s="538"/>
      <c r="G71" s="538"/>
      <c r="H71" s="538"/>
      <c r="I71" s="538"/>
      <c r="J71" s="538"/>
      <c r="K71" s="538"/>
      <c r="L71" s="538"/>
      <c r="M71" s="538"/>
      <c r="N71" s="538"/>
      <c r="O71" s="538"/>
    </row>
    <row r="142" spans="6:7">
      <c r="F142" s="112" t="e">
        <f>#REF!+#REF!+#REF!+#REF!+#REF!+#REF!+#REF!+'КВФО 2 и 4 223'!#REF!+'КВФО 2 и 4 223'!#REF!+'КВФО 2 и 4 223'!#REF!+'КВФО 2 и 4 223'!#REF!+'КВФО 2 и 4 223'!F13+'КВФО 2 и 4 223'!F29+'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43</f>
        <v>#REF!</v>
      </c>
      <c r="G142" s="112" t="e">
        <f>#REF!+#REF!+#REF!+#REF!+#REF!+#REF!+#REF!+'КВФО 2 и 4 223'!#REF!+'КВФО 2 и 4 223'!#REF!+'КВФО 2 и 4 223'!#REF!+'КВФО 2 и 4 223'!#REF!+'КВФО 2 и 4 223'!J13+'КВФО 2 и 4 223'!J29+'Лист11(225)'!J19+'Лист11(225)'!K35+'Лист11(225)'!K64+'Лист12(224,225,226,310,342-349'!K36+'Лист12(224,225,226,310,342-349'!J70+'Лист12(224,225,226,310,342-349'!J80+'Лист12(224,225,226,310,342-349'!J256</f>
        <v>#REF!</v>
      </c>
    </row>
  </sheetData>
  <mergeCells count="77">
    <mergeCell ref="J64:L64"/>
    <mergeCell ref="D65:D66"/>
    <mergeCell ref="C48:C49"/>
    <mergeCell ref="D48:E48"/>
    <mergeCell ref="F48:F49"/>
    <mergeCell ref="G48:G49"/>
    <mergeCell ref="H48:I48"/>
    <mergeCell ref="J48:J49"/>
    <mergeCell ref="E65:E66"/>
    <mergeCell ref="F65:F66"/>
    <mergeCell ref="G65:G66"/>
    <mergeCell ref="I65:I66"/>
    <mergeCell ref="J65:J66"/>
    <mergeCell ref="L65:L66"/>
    <mergeCell ref="K48:K49"/>
    <mergeCell ref="L48:M48"/>
    <mergeCell ref="A64:A66"/>
    <mergeCell ref="B64:B66"/>
    <mergeCell ref="C64:C66"/>
    <mergeCell ref="D64:F64"/>
    <mergeCell ref="G64:I64"/>
    <mergeCell ref="L40:M40"/>
    <mergeCell ref="A47:A49"/>
    <mergeCell ref="B47:B49"/>
    <mergeCell ref="C47:F47"/>
    <mergeCell ref="G47:J47"/>
    <mergeCell ref="K47:N47"/>
    <mergeCell ref="N48:N49"/>
    <mergeCell ref="J20:J21"/>
    <mergeCell ref="N36:N37"/>
    <mergeCell ref="L37:M37"/>
    <mergeCell ref="L38:M38"/>
    <mergeCell ref="L39:M39"/>
    <mergeCell ref="J36:J37"/>
    <mergeCell ref="K36:K37"/>
    <mergeCell ref="L36:M36"/>
    <mergeCell ref="A35:A37"/>
    <mergeCell ref="B35:B37"/>
    <mergeCell ref="C35:F35"/>
    <mergeCell ref="G35:J35"/>
    <mergeCell ref="K35:N35"/>
    <mergeCell ref="C36:C37"/>
    <mergeCell ref="D36:E36"/>
    <mergeCell ref="F36:F37"/>
    <mergeCell ref="G36:G37"/>
    <mergeCell ref="H36:I36"/>
    <mergeCell ref="L10:M10"/>
    <mergeCell ref="L11:M11"/>
    <mergeCell ref="L12:M12"/>
    <mergeCell ref="A19:A21"/>
    <mergeCell ref="B19:B21"/>
    <mergeCell ref="C19:F19"/>
    <mergeCell ref="G19:J19"/>
    <mergeCell ref="K19:N19"/>
    <mergeCell ref="K20:K21"/>
    <mergeCell ref="L20:M20"/>
    <mergeCell ref="N20:N21"/>
    <mergeCell ref="C20:C21"/>
    <mergeCell ref="D20:E20"/>
    <mergeCell ref="F20:F21"/>
    <mergeCell ref="G20:G21"/>
    <mergeCell ref="H20:I20"/>
    <mergeCell ref="A7:A9"/>
    <mergeCell ref="B7:B9"/>
    <mergeCell ref="C7:F7"/>
    <mergeCell ref="G7:J7"/>
    <mergeCell ref="K7:N7"/>
    <mergeCell ref="C8:C9"/>
    <mergeCell ref="D8:E8"/>
    <mergeCell ref="N8:N9"/>
    <mergeCell ref="L9:M9"/>
    <mergeCell ref="F8:F9"/>
    <mergeCell ref="G8:G9"/>
    <mergeCell ref="H8:I8"/>
    <mergeCell ref="J8:J9"/>
    <mergeCell ref="K8:K9"/>
    <mergeCell ref="L8:M8"/>
  </mergeCells>
  <pageMargins left="0.70866141732283472" right="0.39370078740157483" top="0.74803149606299213" bottom="0.35433070866141736" header="0.31496062992125984" footer="0.31496062992125984"/>
  <pageSetup paperSize="9" scale="43"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254"/>
  <sheetViews>
    <sheetView view="pageBreakPreview" topLeftCell="B197" zoomScale="70" zoomScaleNormal="85" zoomScaleSheetLayoutView="70" workbookViewId="0">
      <selection activeCell="I232" sqref="I232"/>
    </sheetView>
  </sheetViews>
  <sheetFormatPr defaultColWidth="9.140625" defaultRowHeight="15"/>
  <cols>
    <col min="1" max="1" width="0" style="374" hidden="1" customWidth="1"/>
    <col min="2" max="2" width="9.28515625" style="374" customWidth="1"/>
    <col min="3" max="3" width="37.42578125" style="374" customWidth="1"/>
    <col min="4" max="4" width="12.42578125" style="374" bestFit="1" customWidth="1"/>
    <col min="5" max="5" width="14.140625" style="374" customWidth="1"/>
    <col min="6" max="6" width="15.5703125" style="374" bestFit="1" customWidth="1"/>
    <col min="7" max="7" width="15.85546875" style="374" bestFit="1" customWidth="1"/>
    <col min="8" max="8" width="15" style="374" bestFit="1" customWidth="1"/>
    <col min="9" max="9" width="15.42578125" style="374" bestFit="1" customWidth="1"/>
    <col min="10" max="10" width="14" style="374" bestFit="1" customWidth="1"/>
    <col min="11" max="11" width="14" style="374" customWidth="1"/>
    <col min="12" max="12" width="15.28515625" style="374" customWidth="1"/>
    <col min="13" max="13" width="14.85546875" style="374" bestFit="1" customWidth="1"/>
    <col min="14" max="14" width="10.7109375" style="374" bestFit="1" customWidth="1"/>
    <col min="15" max="15" width="11.7109375" style="374" bestFit="1" customWidth="1"/>
    <col min="16" max="16" width="14.7109375" style="374" bestFit="1" customWidth="1"/>
    <col min="17" max="17" width="5" style="374" customWidth="1"/>
    <col min="18" max="18" width="27.42578125" style="374" customWidth="1"/>
    <col min="19" max="19" width="14.42578125" style="374" customWidth="1"/>
    <col min="20" max="20" width="9.140625" style="374"/>
    <col min="21" max="29" width="14.7109375" style="374" customWidth="1"/>
    <col min="30" max="16384" width="9.140625" style="374"/>
  </cols>
  <sheetData>
    <row r="1" spans="2:15" ht="15.75">
      <c r="B1" s="586" t="s">
        <v>446</v>
      </c>
      <c r="O1" s="791"/>
    </row>
    <row r="3" spans="2:15">
      <c r="B3" s="792" t="s">
        <v>240</v>
      </c>
      <c r="C3" s="792"/>
      <c r="D3" s="792"/>
      <c r="E3" s="792"/>
      <c r="F3" s="792"/>
      <c r="G3" s="792"/>
      <c r="H3" s="792"/>
      <c r="I3" s="792"/>
      <c r="J3" s="792"/>
      <c r="K3" s="792"/>
      <c r="L3" s="792"/>
      <c r="M3" s="792"/>
    </row>
    <row r="4" spans="2:15">
      <c r="B4" s="374" t="s">
        <v>241</v>
      </c>
    </row>
    <row r="5" spans="2:15">
      <c r="B5" s="374" t="s">
        <v>855</v>
      </c>
    </row>
    <row r="6" spans="2:15">
      <c r="B6" s="374" t="s">
        <v>668</v>
      </c>
    </row>
    <row r="7" spans="2:15">
      <c r="B7" s="583" t="s">
        <v>462</v>
      </c>
    </row>
    <row r="8" spans="2:15">
      <c r="B8" s="1065" t="s">
        <v>176</v>
      </c>
      <c r="C8" s="1065" t="s">
        <v>244</v>
      </c>
      <c r="D8" s="1065" t="s">
        <v>440</v>
      </c>
      <c r="E8" s="1065" t="s">
        <v>559</v>
      </c>
      <c r="F8" s="1065"/>
      <c r="G8" s="1065"/>
      <c r="H8" s="1065" t="s">
        <v>560</v>
      </c>
      <c r="I8" s="1065"/>
      <c r="J8" s="1065"/>
      <c r="K8" s="1065" t="s">
        <v>561</v>
      </c>
      <c r="L8" s="1065"/>
      <c r="M8" s="1065"/>
      <c r="N8" s="792"/>
    </row>
    <row r="9" spans="2:15">
      <c r="B9" s="1065"/>
      <c r="C9" s="1065"/>
      <c r="D9" s="1065"/>
      <c r="E9" s="1065" t="s">
        <v>419</v>
      </c>
      <c r="F9" s="1065" t="s">
        <v>307</v>
      </c>
      <c r="G9" s="1065" t="s">
        <v>247</v>
      </c>
      <c r="H9" s="1065" t="s">
        <v>419</v>
      </c>
      <c r="I9" s="730" t="s">
        <v>366</v>
      </c>
      <c r="J9" s="1065" t="s">
        <v>247</v>
      </c>
      <c r="K9" s="1065" t="s">
        <v>419</v>
      </c>
      <c r="L9" s="730" t="s">
        <v>366</v>
      </c>
      <c r="M9" s="1065" t="s">
        <v>247</v>
      </c>
      <c r="N9" s="792"/>
    </row>
    <row r="10" spans="2:15">
      <c r="B10" s="1065"/>
      <c r="C10" s="1065"/>
      <c r="D10" s="1065"/>
      <c r="E10" s="1065"/>
      <c r="F10" s="1065"/>
      <c r="G10" s="1065"/>
      <c r="H10" s="1065"/>
      <c r="I10" s="730" t="s">
        <v>434</v>
      </c>
      <c r="J10" s="1065"/>
      <c r="K10" s="1065"/>
      <c r="L10" s="730" t="s">
        <v>434</v>
      </c>
      <c r="M10" s="1065"/>
      <c r="N10" s="792"/>
    </row>
    <row r="11" spans="2:15" ht="25.5">
      <c r="B11" s="730">
        <v>1</v>
      </c>
      <c r="C11" s="607" t="s">
        <v>653</v>
      </c>
      <c r="D11" s="612" t="s">
        <v>465</v>
      </c>
      <c r="E11" s="612">
        <v>10</v>
      </c>
      <c r="F11" s="613">
        <f t="shared" ref="F11:F15" si="0">G11/E11</f>
        <v>7903.21</v>
      </c>
      <c r="G11" s="613">
        <f>813930-G12-G13-G14-G15-G16</f>
        <v>79032.05</v>
      </c>
      <c r="H11" s="614">
        <v>0</v>
      </c>
      <c r="I11" s="614">
        <v>0</v>
      </c>
      <c r="J11" s="614">
        <v>200000</v>
      </c>
      <c r="K11" s="614">
        <v>0</v>
      </c>
      <c r="L11" s="614">
        <v>0</v>
      </c>
      <c r="M11" s="614">
        <v>200000</v>
      </c>
      <c r="N11" s="792"/>
    </row>
    <row r="12" spans="2:15">
      <c r="B12" s="730">
        <v>2</v>
      </c>
      <c r="C12" s="607" t="s">
        <v>654</v>
      </c>
      <c r="D12" s="612" t="s">
        <v>465</v>
      </c>
      <c r="E12" s="612">
        <v>1</v>
      </c>
      <c r="F12" s="613">
        <f t="shared" si="0"/>
        <v>5219</v>
      </c>
      <c r="G12" s="613">
        <v>5219</v>
      </c>
      <c r="H12" s="614">
        <v>0</v>
      </c>
      <c r="I12" s="614">
        <v>0</v>
      </c>
      <c r="J12" s="614">
        <v>0</v>
      </c>
      <c r="K12" s="614">
        <v>0</v>
      </c>
      <c r="L12" s="614">
        <v>0</v>
      </c>
      <c r="M12" s="614">
        <v>0</v>
      </c>
      <c r="N12" s="792"/>
    </row>
    <row r="13" spans="2:15" ht="25.5">
      <c r="B13" s="730">
        <v>3</v>
      </c>
      <c r="C13" s="607" t="s">
        <v>655</v>
      </c>
      <c r="D13" s="612" t="s">
        <v>465</v>
      </c>
      <c r="E13" s="612">
        <v>1</v>
      </c>
      <c r="F13" s="613">
        <f t="shared" si="0"/>
        <v>24650</v>
      </c>
      <c r="G13" s="613">
        <v>24650</v>
      </c>
      <c r="H13" s="614">
        <v>0</v>
      </c>
      <c r="I13" s="614">
        <v>0</v>
      </c>
      <c r="J13" s="614">
        <v>0</v>
      </c>
      <c r="K13" s="614">
        <v>0</v>
      </c>
      <c r="L13" s="614">
        <v>0</v>
      </c>
      <c r="M13" s="614">
        <v>0</v>
      </c>
      <c r="N13" s="792"/>
    </row>
    <row r="14" spans="2:15">
      <c r="B14" s="730">
        <v>4</v>
      </c>
      <c r="C14" s="607" t="s">
        <v>656</v>
      </c>
      <c r="D14" s="612" t="s">
        <v>465</v>
      </c>
      <c r="E14" s="612">
        <v>15</v>
      </c>
      <c r="F14" s="613">
        <f t="shared" si="0"/>
        <v>2861.93</v>
      </c>
      <c r="G14" s="613">
        <v>42928.95</v>
      </c>
      <c r="H14" s="614">
        <v>0</v>
      </c>
      <c r="I14" s="614">
        <v>0</v>
      </c>
      <c r="J14" s="614">
        <v>0</v>
      </c>
      <c r="K14" s="614">
        <v>0</v>
      </c>
      <c r="L14" s="614">
        <v>0</v>
      </c>
      <c r="M14" s="614">
        <v>0</v>
      </c>
      <c r="N14" s="792"/>
    </row>
    <row r="15" spans="2:15" ht="25.5">
      <c r="B15" s="730">
        <v>5</v>
      </c>
      <c r="C15" s="607" t="s">
        <v>657</v>
      </c>
      <c r="D15" s="612" t="s">
        <v>465</v>
      </c>
      <c r="E15" s="612">
        <v>1</v>
      </c>
      <c r="F15" s="613">
        <f t="shared" si="0"/>
        <v>98500</v>
      </c>
      <c r="G15" s="613">
        <v>98500</v>
      </c>
      <c r="H15" s="614">
        <v>0</v>
      </c>
      <c r="I15" s="614">
        <v>0</v>
      </c>
      <c r="J15" s="614">
        <v>0</v>
      </c>
      <c r="K15" s="614">
        <v>0</v>
      </c>
      <c r="L15" s="614">
        <v>0</v>
      </c>
      <c r="M15" s="614">
        <v>0</v>
      </c>
      <c r="N15" s="792"/>
    </row>
    <row r="16" spans="2:15" ht="25.5">
      <c r="B16" s="730">
        <v>6</v>
      </c>
      <c r="C16" s="607" t="s">
        <v>658</v>
      </c>
      <c r="D16" s="612" t="s">
        <v>465</v>
      </c>
      <c r="E16" s="612" t="s">
        <v>25</v>
      </c>
      <c r="F16" s="613" t="s">
        <v>25</v>
      </c>
      <c r="G16" s="613">
        <f>SUM(G17:G20)</f>
        <v>563600</v>
      </c>
      <c r="H16" s="614">
        <v>0</v>
      </c>
      <c r="I16" s="614">
        <v>0</v>
      </c>
      <c r="J16" s="614">
        <v>0</v>
      </c>
      <c r="K16" s="614">
        <v>0</v>
      </c>
      <c r="L16" s="614">
        <v>0</v>
      </c>
      <c r="M16" s="614">
        <v>0</v>
      </c>
      <c r="N16" s="792"/>
    </row>
    <row r="17" spans="2:14" ht="38.25">
      <c r="B17" s="746" t="s">
        <v>663</v>
      </c>
      <c r="C17" s="621" t="s">
        <v>659</v>
      </c>
      <c r="D17" s="747" t="s">
        <v>465</v>
      </c>
      <c r="E17" s="747">
        <v>1</v>
      </c>
      <c r="F17" s="748">
        <f t="shared" ref="F17:F20" si="1">G17/E17</f>
        <v>105000</v>
      </c>
      <c r="G17" s="748">
        <v>105000</v>
      </c>
      <c r="H17" s="614">
        <v>0</v>
      </c>
      <c r="I17" s="614">
        <v>0</v>
      </c>
      <c r="J17" s="614">
        <v>0</v>
      </c>
      <c r="K17" s="614">
        <v>0</v>
      </c>
      <c r="L17" s="614">
        <v>0</v>
      </c>
      <c r="M17" s="614">
        <v>0</v>
      </c>
      <c r="N17" s="792"/>
    </row>
    <row r="18" spans="2:14" ht="38.25">
      <c r="B18" s="621" t="s">
        <v>664</v>
      </c>
      <c r="C18" s="621" t="s">
        <v>660</v>
      </c>
      <c r="D18" s="747" t="s">
        <v>465</v>
      </c>
      <c r="E18" s="747">
        <v>1</v>
      </c>
      <c r="F18" s="748">
        <f t="shared" si="1"/>
        <v>113000</v>
      </c>
      <c r="G18" s="748">
        <v>113000</v>
      </c>
      <c r="H18" s="614">
        <v>0</v>
      </c>
      <c r="I18" s="614">
        <v>0</v>
      </c>
      <c r="J18" s="614">
        <v>0</v>
      </c>
      <c r="K18" s="614">
        <v>0</v>
      </c>
      <c r="L18" s="614">
        <v>0</v>
      </c>
      <c r="M18" s="614">
        <v>0</v>
      </c>
      <c r="N18" s="792"/>
    </row>
    <row r="19" spans="2:14" ht="38.25">
      <c r="B19" s="621" t="s">
        <v>665</v>
      </c>
      <c r="C19" s="621" t="s">
        <v>661</v>
      </c>
      <c r="D19" s="747" t="s">
        <v>465</v>
      </c>
      <c r="E19" s="747">
        <v>2</v>
      </c>
      <c r="F19" s="748">
        <f t="shared" si="1"/>
        <v>118000</v>
      </c>
      <c r="G19" s="748">
        <v>236000</v>
      </c>
      <c r="H19" s="614">
        <v>0</v>
      </c>
      <c r="I19" s="614">
        <v>0</v>
      </c>
      <c r="J19" s="614">
        <v>0</v>
      </c>
      <c r="K19" s="614">
        <v>0</v>
      </c>
      <c r="L19" s="614">
        <v>0</v>
      </c>
      <c r="M19" s="614">
        <v>0</v>
      </c>
      <c r="N19" s="792"/>
    </row>
    <row r="20" spans="2:14" ht="38.25">
      <c r="B20" s="621" t="s">
        <v>666</v>
      </c>
      <c r="C20" s="621" t="s">
        <v>662</v>
      </c>
      <c r="D20" s="747" t="s">
        <v>465</v>
      </c>
      <c r="E20" s="747">
        <v>1</v>
      </c>
      <c r="F20" s="748">
        <f t="shared" si="1"/>
        <v>109600</v>
      </c>
      <c r="G20" s="748">
        <v>109600</v>
      </c>
      <c r="H20" s="614">
        <v>0</v>
      </c>
      <c r="I20" s="614">
        <v>0</v>
      </c>
      <c r="J20" s="614">
        <v>0</v>
      </c>
      <c r="K20" s="614">
        <v>0</v>
      </c>
      <c r="L20" s="614">
        <v>0</v>
      </c>
      <c r="M20" s="614">
        <v>0</v>
      </c>
      <c r="N20" s="792"/>
    </row>
    <row r="21" spans="2:14">
      <c r="B21" s="740" t="s">
        <v>25</v>
      </c>
      <c r="C21" s="739" t="s">
        <v>254</v>
      </c>
      <c r="D21" s="740" t="s">
        <v>25</v>
      </c>
      <c r="E21" s="749">
        <f>SUM(E10:E11)</f>
        <v>10</v>
      </c>
      <c r="F21" s="740" t="s">
        <v>25</v>
      </c>
      <c r="G21" s="750">
        <f>G11+G12+G13+G14+G15+G16</f>
        <v>813930</v>
      </c>
      <c r="H21" s="740" t="s">
        <v>25</v>
      </c>
      <c r="I21" s="740" t="s">
        <v>25</v>
      </c>
      <c r="J21" s="751">
        <f>J11+J12+J13+J14+J15+J16</f>
        <v>200000</v>
      </c>
      <c r="K21" s="740" t="s">
        <v>25</v>
      </c>
      <c r="L21" s="740" t="s">
        <v>25</v>
      </c>
      <c r="M21" s="751">
        <f>M11+M12+M13+M14+M15+M16</f>
        <v>200000</v>
      </c>
      <c r="N21" s="792"/>
    </row>
    <row r="24" spans="2:14">
      <c r="B24" s="788" t="s">
        <v>243</v>
      </c>
      <c r="C24" s="788"/>
      <c r="D24" s="788"/>
      <c r="E24" s="788"/>
      <c r="F24" s="788"/>
      <c r="G24" s="788"/>
      <c r="H24" s="788"/>
      <c r="I24" s="788"/>
      <c r="J24" s="788"/>
      <c r="K24" s="788"/>
      <c r="L24" s="788"/>
      <c r="M24" s="788"/>
      <c r="N24" s="788"/>
    </row>
    <row r="25" spans="2:14">
      <c r="B25" s="374" t="s">
        <v>239</v>
      </c>
      <c r="N25" s="788"/>
    </row>
    <row r="26" spans="2:14">
      <c r="B26" s="374" t="s">
        <v>874</v>
      </c>
      <c r="N26" s="788"/>
    </row>
    <row r="27" spans="2:14">
      <c r="B27" s="374" t="s">
        <v>668</v>
      </c>
      <c r="N27" s="788"/>
    </row>
    <row r="28" spans="2:14">
      <c r="B28" s="583" t="s">
        <v>528</v>
      </c>
      <c r="N28" s="788"/>
    </row>
    <row r="29" spans="2:14">
      <c r="B29" s="1065" t="s">
        <v>176</v>
      </c>
      <c r="C29" s="1065" t="s">
        <v>244</v>
      </c>
      <c r="D29" s="1065" t="s">
        <v>440</v>
      </c>
      <c r="E29" s="1065" t="s">
        <v>559</v>
      </c>
      <c r="F29" s="1065"/>
      <c r="G29" s="1065"/>
      <c r="H29" s="1065" t="s">
        <v>560</v>
      </c>
      <c r="I29" s="1065"/>
      <c r="J29" s="1065"/>
      <c r="K29" s="1065" t="s">
        <v>561</v>
      </c>
      <c r="L29" s="1065"/>
      <c r="M29" s="1065"/>
      <c r="N29" s="788"/>
    </row>
    <row r="30" spans="2:14">
      <c r="B30" s="1065"/>
      <c r="C30" s="1065"/>
      <c r="D30" s="1065"/>
      <c r="E30" s="1065" t="s">
        <v>419</v>
      </c>
      <c r="F30" s="1065" t="s">
        <v>307</v>
      </c>
      <c r="G30" s="1065" t="s">
        <v>247</v>
      </c>
      <c r="H30" s="1065" t="s">
        <v>419</v>
      </c>
      <c r="I30" s="730" t="s">
        <v>366</v>
      </c>
      <c r="J30" s="1065" t="s">
        <v>247</v>
      </c>
      <c r="K30" s="1065" t="s">
        <v>419</v>
      </c>
      <c r="L30" s="730" t="s">
        <v>366</v>
      </c>
      <c r="M30" s="1065" t="s">
        <v>247</v>
      </c>
      <c r="N30" s="788"/>
    </row>
    <row r="31" spans="2:14">
      <c r="B31" s="1065"/>
      <c r="C31" s="1065"/>
      <c r="D31" s="1065"/>
      <c r="E31" s="1065"/>
      <c r="F31" s="1065"/>
      <c r="G31" s="1065"/>
      <c r="H31" s="1065"/>
      <c r="I31" s="730" t="s">
        <v>434</v>
      </c>
      <c r="J31" s="1065"/>
      <c r="K31" s="1065"/>
      <c r="L31" s="730" t="s">
        <v>434</v>
      </c>
      <c r="M31" s="1065"/>
      <c r="N31" s="788"/>
    </row>
    <row r="32" spans="2:14">
      <c r="B32" s="730">
        <v>1</v>
      </c>
      <c r="C32" s="607" t="s">
        <v>875</v>
      </c>
      <c r="D32" s="612" t="s">
        <v>465</v>
      </c>
      <c r="E32" s="612">
        <v>3</v>
      </c>
      <c r="F32" s="613">
        <v>2990</v>
      </c>
      <c r="G32" s="613">
        <f>E32*F32</f>
        <v>8970</v>
      </c>
      <c r="H32" s="614">
        <v>0</v>
      </c>
      <c r="I32" s="614">
        <v>0</v>
      </c>
      <c r="J32" s="614">
        <v>0</v>
      </c>
      <c r="K32" s="614">
        <v>0</v>
      </c>
      <c r="L32" s="614">
        <v>0</v>
      </c>
      <c r="M32" s="614">
        <v>0</v>
      </c>
      <c r="N32" s="788"/>
    </row>
    <row r="33" spans="2:14">
      <c r="B33" s="730">
        <v>2</v>
      </c>
      <c r="C33" s="607" t="s">
        <v>876</v>
      </c>
      <c r="D33" s="612" t="s">
        <v>465</v>
      </c>
      <c r="E33" s="612">
        <v>3</v>
      </c>
      <c r="F33" s="613">
        <v>11990</v>
      </c>
      <c r="G33" s="613">
        <f t="shared" ref="G33:G36" si="2">E33*F33</f>
        <v>35970</v>
      </c>
      <c r="H33" s="614">
        <v>0</v>
      </c>
      <c r="I33" s="614">
        <v>0</v>
      </c>
      <c r="J33" s="614">
        <v>0</v>
      </c>
      <c r="K33" s="614">
        <v>0</v>
      </c>
      <c r="L33" s="614">
        <v>0</v>
      </c>
      <c r="M33" s="614">
        <v>0</v>
      </c>
      <c r="N33" s="788"/>
    </row>
    <row r="34" spans="2:14">
      <c r="B34" s="730">
        <v>3</v>
      </c>
      <c r="C34" s="607" t="s">
        <v>877</v>
      </c>
      <c r="D34" s="612" t="s">
        <v>465</v>
      </c>
      <c r="E34" s="612">
        <v>1</v>
      </c>
      <c r="F34" s="613">
        <v>23338</v>
      </c>
      <c r="G34" s="613">
        <f t="shared" si="2"/>
        <v>23338</v>
      </c>
      <c r="H34" s="614">
        <v>0</v>
      </c>
      <c r="I34" s="614">
        <v>0</v>
      </c>
      <c r="J34" s="614">
        <v>0</v>
      </c>
      <c r="K34" s="614">
        <v>0</v>
      </c>
      <c r="L34" s="614">
        <v>0</v>
      </c>
      <c r="M34" s="614">
        <v>0</v>
      </c>
      <c r="N34" s="788"/>
    </row>
    <row r="35" spans="2:14">
      <c r="B35" s="730">
        <v>4</v>
      </c>
      <c r="C35" s="607" t="s">
        <v>878</v>
      </c>
      <c r="D35" s="612" t="s">
        <v>465</v>
      </c>
      <c r="E35" s="612">
        <v>3</v>
      </c>
      <c r="F35" s="613">
        <v>44990</v>
      </c>
      <c r="G35" s="613">
        <f t="shared" si="2"/>
        <v>134970</v>
      </c>
      <c r="H35" s="614">
        <v>0</v>
      </c>
      <c r="I35" s="614">
        <v>0</v>
      </c>
      <c r="J35" s="614">
        <v>0</v>
      </c>
      <c r="K35" s="614">
        <v>0</v>
      </c>
      <c r="L35" s="614">
        <v>0</v>
      </c>
      <c r="M35" s="614">
        <v>0</v>
      </c>
      <c r="N35" s="788"/>
    </row>
    <row r="36" spans="2:14">
      <c r="B36" s="730">
        <v>5</v>
      </c>
      <c r="C36" s="607" t="s">
        <v>879</v>
      </c>
      <c r="D36" s="612" t="s">
        <v>465</v>
      </c>
      <c r="E36" s="612">
        <v>8</v>
      </c>
      <c r="F36" s="613">
        <v>5487.75</v>
      </c>
      <c r="G36" s="613">
        <f t="shared" si="2"/>
        <v>43902</v>
      </c>
      <c r="H36" s="614">
        <v>0</v>
      </c>
      <c r="I36" s="614">
        <v>0</v>
      </c>
      <c r="J36" s="614">
        <v>0</v>
      </c>
      <c r="K36" s="614">
        <v>0</v>
      </c>
      <c r="L36" s="614">
        <v>0</v>
      </c>
      <c r="M36" s="614">
        <v>0</v>
      </c>
      <c r="N36" s="788"/>
    </row>
    <row r="37" spans="2:14">
      <c r="B37" s="740" t="s">
        <v>25</v>
      </c>
      <c r="C37" s="739" t="s">
        <v>254</v>
      </c>
      <c r="D37" s="740" t="s">
        <v>25</v>
      </c>
      <c r="E37" s="749">
        <f>SUM(E31:E32)</f>
        <v>3</v>
      </c>
      <c r="F37" s="740" t="s">
        <v>25</v>
      </c>
      <c r="G37" s="750">
        <f>SUM(G32:G36)</f>
        <v>247150</v>
      </c>
      <c r="H37" s="740" t="s">
        <v>25</v>
      </c>
      <c r="I37" s="740" t="s">
        <v>25</v>
      </c>
      <c r="J37" s="751">
        <v>0</v>
      </c>
      <c r="K37" s="740" t="s">
        <v>25</v>
      </c>
      <c r="L37" s="740" t="s">
        <v>25</v>
      </c>
      <c r="M37" s="751">
        <v>0</v>
      </c>
      <c r="N37" s="788"/>
    </row>
    <row r="40" spans="2:14">
      <c r="B40" s="539" t="s">
        <v>646</v>
      </c>
      <c r="C40" s="539"/>
      <c r="D40" s="539"/>
      <c r="E40" s="539"/>
      <c r="F40" s="539"/>
      <c r="G40" s="539"/>
      <c r="H40" s="539"/>
      <c r="I40" s="539"/>
      <c r="J40" s="539"/>
      <c r="K40" s="539"/>
      <c r="L40" s="539"/>
      <c r="M40" s="539"/>
      <c r="N40" s="792"/>
    </row>
    <row r="41" spans="2:14">
      <c r="B41" s="374" t="s">
        <v>241</v>
      </c>
      <c r="N41" s="792"/>
    </row>
    <row r="42" spans="2:14">
      <c r="B42" s="374" t="s">
        <v>855</v>
      </c>
      <c r="N42" s="792"/>
    </row>
    <row r="43" spans="2:14">
      <c r="B43" s="583" t="s">
        <v>915</v>
      </c>
      <c r="N43" s="792"/>
    </row>
    <row r="44" spans="2:14" ht="15" customHeight="1">
      <c r="B44" s="1065" t="s">
        <v>176</v>
      </c>
      <c r="C44" s="1065" t="s">
        <v>244</v>
      </c>
      <c r="D44" s="1065" t="s">
        <v>440</v>
      </c>
      <c r="E44" s="1066" t="s">
        <v>559</v>
      </c>
      <c r="F44" s="1069"/>
      <c r="G44" s="1067"/>
      <c r="H44" s="1066" t="s">
        <v>560</v>
      </c>
      <c r="I44" s="1069"/>
      <c r="J44" s="1067"/>
      <c r="K44" s="1066" t="s">
        <v>561</v>
      </c>
      <c r="L44" s="1069"/>
      <c r="M44" s="1067"/>
      <c r="N44" s="792"/>
    </row>
    <row r="45" spans="2:14" ht="15" customHeight="1">
      <c r="B45" s="1065"/>
      <c r="C45" s="1065"/>
      <c r="D45" s="1065"/>
      <c r="E45" s="1065" t="s">
        <v>419</v>
      </c>
      <c r="F45" s="1065" t="s">
        <v>307</v>
      </c>
      <c r="G45" s="1065" t="s">
        <v>247</v>
      </c>
      <c r="H45" s="1065" t="s">
        <v>419</v>
      </c>
      <c r="I45" s="730" t="s">
        <v>366</v>
      </c>
      <c r="J45" s="1065" t="s">
        <v>247</v>
      </c>
      <c r="K45" s="1065" t="s">
        <v>419</v>
      </c>
      <c r="L45" s="730" t="s">
        <v>366</v>
      </c>
      <c r="M45" s="1065" t="s">
        <v>247</v>
      </c>
      <c r="N45" s="792"/>
    </row>
    <row r="46" spans="2:14">
      <c r="B46" s="1065"/>
      <c r="C46" s="1065"/>
      <c r="D46" s="1065"/>
      <c r="E46" s="1065"/>
      <c r="F46" s="1065"/>
      <c r="G46" s="1065"/>
      <c r="H46" s="1065"/>
      <c r="I46" s="730" t="s">
        <v>434</v>
      </c>
      <c r="J46" s="1065"/>
      <c r="K46" s="1065"/>
      <c r="L46" s="730" t="s">
        <v>434</v>
      </c>
      <c r="M46" s="1065"/>
      <c r="N46" s="792"/>
    </row>
    <row r="47" spans="2:14" ht="38.25">
      <c r="B47" s="730">
        <v>1</v>
      </c>
      <c r="C47" s="732" t="s">
        <v>582</v>
      </c>
      <c r="D47" s="635" t="s">
        <v>469</v>
      </c>
      <c r="E47" s="635">
        <v>191</v>
      </c>
      <c r="F47" s="752">
        <v>270</v>
      </c>
      <c r="G47" s="753">
        <f>E47*F47</f>
        <v>51570</v>
      </c>
      <c r="H47" s="636">
        <v>191</v>
      </c>
      <c r="I47" s="637">
        <v>270</v>
      </c>
      <c r="J47" s="638">
        <f>H47*I47</f>
        <v>51570</v>
      </c>
      <c r="K47" s="635">
        <v>191</v>
      </c>
      <c r="L47" s="637">
        <v>270</v>
      </c>
      <c r="M47" s="638">
        <f>K47*L47</f>
        <v>51570</v>
      </c>
      <c r="N47" s="792"/>
    </row>
    <row r="48" spans="2:14" ht="38.25">
      <c r="B48" s="730">
        <v>2</v>
      </c>
      <c r="C48" s="732" t="s">
        <v>638</v>
      </c>
      <c r="D48" s="635" t="s">
        <v>25</v>
      </c>
      <c r="E48" s="635" t="s">
        <v>25</v>
      </c>
      <c r="F48" s="752" t="s">
        <v>25</v>
      </c>
      <c r="G48" s="753">
        <v>0</v>
      </c>
      <c r="H48" s="636" t="s">
        <v>25</v>
      </c>
      <c r="I48" s="637" t="s">
        <v>25</v>
      </c>
      <c r="J48" s="638">
        <v>0</v>
      </c>
      <c r="K48" s="635" t="s">
        <v>25</v>
      </c>
      <c r="L48" s="637" t="s">
        <v>25</v>
      </c>
      <c r="M48" s="638">
        <v>0</v>
      </c>
      <c r="N48" s="792"/>
    </row>
    <row r="49" spans="2:14" ht="25.5">
      <c r="B49" s="730">
        <v>3</v>
      </c>
      <c r="C49" s="732" t="s">
        <v>886</v>
      </c>
      <c r="D49" s="635" t="s">
        <v>469</v>
      </c>
      <c r="E49" s="635" t="s">
        <v>25</v>
      </c>
      <c r="F49" s="752" t="s">
        <v>25</v>
      </c>
      <c r="G49" s="753">
        <v>2831</v>
      </c>
      <c r="H49" s="636" t="s">
        <v>25</v>
      </c>
      <c r="I49" s="637" t="s">
        <v>25</v>
      </c>
      <c r="J49" s="638">
        <v>0</v>
      </c>
      <c r="K49" s="635" t="s">
        <v>25</v>
      </c>
      <c r="L49" s="637" t="s">
        <v>25</v>
      </c>
      <c r="M49" s="638">
        <v>0</v>
      </c>
      <c r="N49" s="792"/>
    </row>
    <row r="50" spans="2:14" ht="25.5">
      <c r="B50" s="730">
        <v>4</v>
      </c>
      <c r="C50" s="732" t="s">
        <v>887</v>
      </c>
      <c r="D50" s="635" t="s">
        <v>469</v>
      </c>
      <c r="E50" s="635">
        <v>1</v>
      </c>
      <c r="F50" s="752">
        <v>2484</v>
      </c>
      <c r="G50" s="753">
        <v>2484</v>
      </c>
      <c r="H50" s="636" t="s">
        <v>25</v>
      </c>
      <c r="I50" s="637" t="s">
        <v>25</v>
      </c>
      <c r="J50" s="638">
        <v>0</v>
      </c>
      <c r="K50" s="635" t="s">
        <v>25</v>
      </c>
      <c r="L50" s="637" t="s">
        <v>25</v>
      </c>
      <c r="M50" s="638">
        <v>0</v>
      </c>
      <c r="N50" s="792"/>
    </row>
    <row r="51" spans="2:14" ht="25.5">
      <c r="B51" s="730">
        <v>5</v>
      </c>
      <c r="C51" s="732" t="s">
        <v>888</v>
      </c>
      <c r="D51" s="635" t="s">
        <v>469</v>
      </c>
      <c r="E51" s="635">
        <v>1</v>
      </c>
      <c r="F51" s="752">
        <v>1242</v>
      </c>
      <c r="G51" s="753">
        <v>1242</v>
      </c>
      <c r="H51" s="636" t="s">
        <v>25</v>
      </c>
      <c r="I51" s="637" t="s">
        <v>25</v>
      </c>
      <c r="J51" s="638">
        <v>0</v>
      </c>
      <c r="K51" s="635" t="s">
        <v>25</v>
      </c>
      <c r="L51" s="637" t="s">
        <v>25</v>
      </c>
      <c r="M51" s="638">
        <v>0</v>
      </c>
      <c r="N51" s="792"/>
    </row>
    <row r="52" spans="2:14" ht="25.5">
      <c r="B52" s="730">
        <v>6</v>
      </c>
      <c r="C52" s="732" t="s">
        <v>889</v>
      </c>
      <c r="D52" s="635" t="s">
        <v>469</v>
      </c>
      <c r="E52" s="635">
        <v>1</v>
      </c>
      <c r="F52" s="752">
        <v>1242</v>
      </c>
      <c r="G52" s="753">
        <v>1242</v>
      </c>
      <c r="H52" s="636" t="s">
        <v>25</v>
      </c>
      <c r="I52" s="637" t="s">
        <v>25</v>
      </c>
      <c r="J52" s="638">
        <v>0</v>
      </c>
      <c r="K52" s="635" t="s">
        <v>25</v>
      </c>
      <c r="L52" s="637" t="s">
        <v>25</v>
      </c>
      <c r="M52" s="638">
        <v>0</v>
      </c>
      <c r="N52" s="792"/>
    </row>
    <row r="53" spans="2:14">
      <c r="B53" s="730">
        <v>7</v>
      </c>
      <c r="C53" s="732" t="s">
        <v>890</v>
      </c>
      <c r="D53" s="635" t="s">
        <v>469</v>
      </c>
      <c r="E53" s="635">
        <v>1</v>
      </c>
      <c r="F53" s="752">
        <v>1242</v>
      </c>
      <c r="G53" s="753">
        <v>1242</v>
      </c>
      <c r="H53" s="636" t="s">
        <v>25</v>
      </c>
      <c r="I53" s="637" t="s">
        <v>25</v>
      </c>
      <c r="J53" s="638">
        <v>0</v>
      </c>
      <c r="K53" s="635" t="s">
        <v>25</v>
      </c>
      <c r="L53" s="637" t="s">
        <v>25</v>
      </c>
      <c r="M53" s="638">
        <v>0</v>
      </c>
      <c r="N53" s="792"/>
    </row>
    <row r="54" spans="2:14" ht="38.25">
      <c r="B54" s="730">
        <v>8</v>
      </c>
      <c r="C54" s="732" t="s">
        <v>637</v>
      </c>
      <c r="D54" s="635" t="s">
        <v>25</v>
      </c>
      <c r="E54" s="635" t="s">
        <v>25</v>
      </c>
      <c r="F54" s="752" t="s">
        <v>25</v>
      </c>
      <c r="G54" s="753">
        <v>537923.11</v>
      </c>
      <c r="H54" s="636" t="s">
        <v>25</v>
      </c>
      <c r="I54" s="637" t="s">
        <v>25</v>
      </c>
      <c r="J54" s="638">
        <v>491020.43</v>
      </c>
      <c r="K54" s="635" t="s">
        <v>25</v>
      </c>
      <c r="L54" s="637" t="s">
        <v>25</v>
      </c>
      <c r="M54" s="638">
        <v>491020.43</v>
      </c>
      <c r="N54" s="792"/>
    </row>
    <row r="55" spans="2:14">
      <c r="B55" s="615"/>
      <c r="C55" s="616" t="s">
        <v>254</v>
      </c>
      <c r="D55" s="612" t="s">
        <v>25</v>
      </c>
      <c r="E55" s="612" t="s">
        <v>25</v>
      </c>
      <c r="F55" s="754" t="s">
        <v>25</v>
      </c>
      <c r="G55" s="790">
        <f>SUM(G47:G54)</f>
        <v>598534.11</v>
      </c>
      <c r="H55" s="754" t="s">
        <v>25</v>
      </c>
      <c r="I55" s="612" t="s">
        <v>25</v>
      </c>
      <c r="J55" s="755">
        <f>SUM(J47:J54)</f>
        <v>542590.43000000005</v>
      </c>
      <c r="K55" s="612" t="s">
        <v>25</v>
      </c>
      <c r="L55" s="612" t="s">
        <v>25</v>
      </c>
      <c r="M55" s="755">
        <f>SUM(M47:M54)</f>
        <v>542590.43000000005</v>
      </c>
      <c r="N55" s="792"/>
    </row>
    <row r="58" spans="2:14">
      <c r="B58" s="543" t="s">
        <v>235</v>
      </c>
      <c r="C58" s="543"/>
      <c r="D58" s="543"/>
      <c r="E58" s="543"/>
      <c r="F58" s="543"/>
      <c r="G58" s="543"/>
      <c r="H58" s="543"/>
      <c r="I58" s="543"/>
      <c r="J58" s="543"/>
      <c r="K58" s="543"/>
      <c r="L58" s="543"/>
      <c r="M58" s="543"/>
      <c r="N58" s="543"/>
    </row>
    <row r="59" spans="2:14">
      <c r="B59" s="374" t="s">
        <v>236</v>
      </c>
      <c r="N59" s="543"/>
    </row>
    <row r="60" spans="2:14">
      <c r="B60" s="374" t="s">
        <v>856</v>
      </c>
      <c r="N60" s="543"/>
    </row>
    <row r="61" spans="2:14">
      <c r="B61" s="583" t="s">
        <v>884</v>
      </c>
      <c r="N61" s="543"/>
    </row>
    <row r="62" spans="2:14">
      <c r="B62" s="1065" t="s">
        <v>176</v>
      </c>
      <c r="C62" s="1065" t="s">
        <v>244</v>
      </c>
      <c r="D62" s="1065" t="s">
        <v>440</v>
      </c>
      <c r="E62" s="1066" t="s">
        <v>559</v>
      </c>
      <c r="F62" s="1069"/>
      <c r="G62" s="1067"/>
      <c r="H62" s="1066" t="s">
        <v>560</v>
      </c>
      <c r="I62" s="1069"/>
      <c r="J62" s="1067"/>
      <c r="K62" s="1066" t="s">
        <v>561</v>
      </c>
      <c r="L62" s="1069"/>
      <c r="M62" s="1067"/>
      <c r="N62" s="543"/>
    </row>
    <row r="63" spans="2:14">
      <c r="B63" s="1065"/>
      <c r="C63" s="1065"/>
      <c r="D63" s="1065"/>
      <c r="E63" s="1065" t="s">
        <v>419</v>
      </c>
      <c r="F63" s="1065" t="s">
        <v>307</v>
      </c>
      <c r="G63" s="1065" t="s">
        <v>247</v>
      </c>
      <c r="H63" s="1065" t="s">
        <v>419</v>
      </c>
      <c r="I63" s="730" t="s">
        <v>366</v>
      </c>
      <c r="J63" s="1065" t="s">
        <v>247</v>
      </c>
      <c r="K63" s="1065" t="s">
        <v>419</v>
      </c>
      <c r="L63" s="730" t="s">
        <v>366</v>
      </c>
      <c r="M63" s="1065" t="s">
        <v>247</v>
      </c>
      <c r="N63" s="543"/>
    </row>
    <row r="64" spans="2:14">
      <c r="B64" s="1065"/>
      <c r="C64" s="1065"/>
      <c r="D64" s="1065"/>
      <c r="E64" s="1065"/>
      <c r="F64" s="1065"/>
      <c r="G64" s="1065"/>
      <c r="H64" s="1065"/>
      <c r="I64" s="730" t="s">
        <v>434</v>
      </c>
      <c r="J64" s="1065"/>
      <c r="K64" s="1065"/>
      <c r="L64" s="730" t="s">
        <v>434</v>
      </c>
      <c r="M64" s="1065"/>
      <c r="N64" s="543"/>
    </row>
    <row r="65" spans="2:14" ht="38.25">
      <c r="B65" s="730">
        <v>1</v>
      </c>
      <c r="C65" s="732" t="s">
        <v>638</v>
      </c>
      <c r="D65" s="635" t="s">
        <v>25</v>
      </c>
      <c r="E65" s="635" t="s">
        <v>25</v>
      </c>
      <c r="F65" s="752" t="s">
        <v>25</v>
      </c>
      <c r="G65" s="753">
        <v>0</v>
      </c>
      <c r="H65" s="636" t="s">
        <v>25</v>
      </c>
      <c r="I65" s="637" t="s">
        <v>25</v>
      </c>
      <c r="J65" s="638">
        <v>0</v>
      </c>
      <c r="K65" s="635" t="s">
        <v>25</v>
      </c>
      <c r="L65" s="637" t="s">
        <v>25</v>
      </c>
      <c r="M65" s="638">
        <v>0</v>
      </c>
      <c r="N65" s="543"/>
    </row>
    <row r="66" spans="2:14" ht="38.25">
      <c r="B66" s="730">
        <v>2</v>
      </c>
      <c r="C66" s="732" t="s">
        <v>637</v>
      </c>
      <c r="D66" s="635" t="s">
        <v>25</v>
      </c>
      <c r="E66" s="635" t="s">
        <v>25</v>
      </c>
      <c r="F66" s="752" t="s">
        <v>25</v>
      </c>
      <c r="G66" s="753">
        <v>187438.31</v>
      </c>
      <c r="H66" s="636" t="s">
        <v>25</v>
      </c>
      <c r="I66" s="637" t="s">
        <v>25</v>
      </c>
      <c r="J66" s="638">
        <v>87438.32</v>
      </c>
      <c r="K66" s="635" t="s">
        <v>25</v>
      </c>
      <c r="L66" s="637" t="s">
        <v>25</v>
      </c>
      <c r="M66" s="638">
        <v>87438.31</v>
      </c>
      <c r="N66" s="543"/>
    </row>
    <row r="67" spans="2:14">
      <c r="B67" s="615"/>
      <c r="C67" s="616" t="s">
        <v>254</v>
      </c>
      <c r="D67" s="612" t="s">
        <v>25</v>
      </c>
      <c r="E67" s="612" t="s">
        <v>25</v>
      </c>
      <c r="F67" s="754" t="s">
        <v>25</v>
      </c>
      <c r="G67" s="790">
        <f>SUM(G65:G66)</f>
        <v>187438.31</v>
      </c>
      <c r="H67" s="754" t="s">
        <v>25</v>
      </c>
      <c r="I67" s="612" t="s">
        <v>25</v>
      </c>
      <c r="J67" s="755">
        <f>SUM(J65:J66)</f>
        <v>87438.32</v>
      </c>
      <c r="K67" s="612" t="s">
        <v>25</v>
      </c>
      <c r="L67" s="612" t="s">
        <v>25</v>
      </c>
      <c r="M67" s="755">
        <f>SUM(M65:M66)</f>
        <v>87438.31</v>
      </c>
      <c r="N67" s="543"/>
    </row>
    <row r="70" spans="2:14">
      <c r="B70" s="539" t="s">
        <v>646</v>
      </c>
      <c r="C70" s="539"/>
      <c r="D70" s="539"/>
      <c r="E70" s="539"/>
      <c r="F70" s="539"/>
      <c r="G70" s="539"/>
      <c r="H70" s="539"/>
      <c r="I70" s="539"/>
      <c r="J70" s="539"/>
      <c r="K70" s="539"/>
      <c r="L70" s="539"/>
      <c r="M70" s="539"/>
      <c r="N70" s="792"/>
    </row>
    <row r="71" spans="2:14">
      <c r="B71" s="374" t="s">
        <v>241</v>
      </c>
      <c r="N71" s="792"/>
    </row>
    <row r="72" spans="2:14">
      <c r="B72" s="374" t="s">
        <v>855</v>
      </c>
      <c r="N72" s="792"/>
    </row>
    <row r="73" spans="2:14">
      <c r="B73" s="583" t="s">
        <v>885</v>
      </c>
      <c r="N73" s="792"/>
    </row>
    <row r="74" spans="2:14">
      <c r="B74" s="1065" t="s">
        <v>176</v>
      </c>
      <c r="C74" s="1065" t="s">
        <v>244</v>
      </c>
      <c r="D74" s="1065" t="s">
        <v>440</v>
      </c>
      <c r="E74" s="1066" t="s">
        <v>559</v>
      </c>
      <c r="F74" s="1069"/>
      <c r="G74" s="1067"/>
      <c r="H74" s="1066" t="s">
        <v>560</v>
      </c>
      <c r="I74" s="1069"/>
      <c r="J74" s="1067"/>
      <c r="K74" s="1066" t="s">
        <v>561</v>
      </c>
      <c r="L74" s="1069"/>
      <c r="M74" s="1067"/>
      <c r="N74" s="792"/>
    </row>
    <row r="75" spans="2:14">
      <c r="B75" s="1065"/>
      <c r="C75" s="1065"/>
      <c r="D75" s="1065"/>
      <c r="E75" s="1065" t="s">
        <v>419</v>
      </c>
      <c r="F75" s="1065" t="s">
        <v>307</v>
      </c>
      <c r="G75" s="1065" t="s">
        <v>247</v>
      </c>
      <c r="H75" s="1065" t="s">
        <v>419</v>
      </c>
      <c r="I75" s="730" t="s">
        <v>366</v>
      </c>
      <c r="J75" s="1065" t="s">
        <v>247</v>
      </c>
      <c r="K75" s="1065" t="s">
        <v>419</v>
      </c>
      <c r="L75" s="730" t="s">
        <v>366</v>
      </c>
      <c r="M75" s="1065" t="s">
        <v>247</v>
      </c>
      <c r="N75" s="792"/>
    </row>
    <row r="76" spans="2:14">
      <c r="B76" s="1065"/>
      <c r="C76" s="1065"/>
      <c r="D76" s="1065"/>
      <c r="E76" s="1065"/>
      <c r="F76" s="1065"/>
      <c r="G76" s="1065"/>
      <c r="H76" s="1065"/>
      <c r="I76" s="730" t="s">
        <v>434</v>
      </c>
      <c r="J76" s="1065"/>
      <c r="K76" s="1065"/>
      <c r="L76" s="730" t="s">
        <v>434</v>
      </c>
      <c r="M76" s="1065"/>
      <c r="N76" s="792"/>
    </row>
    <row r="77" spans="2:14" ht="38.25">
      <c r="B77" s="730">
        <v>1</v>
      </c>
      <c r="C77" s="732" t="s">
        <v>638</v>
      </c>
      <c r="D77" s="635" t="s">
        <v>25</v>
      </c>
      <c r="E77" s="635" t="s">
        <v>25</v>
      </c>
      <c r="F77" s="752" t="s">
        <v>25</v>
      </c>
      <c r="G77" s="753">
        <v>6171.52</v>
      </c>
      <c r="H77" s="636" t="s">
        <v>25</v>
      </c>
      <c r="I77" s="637" t="s">
        <v>25</v>
      </c>
      <c r="J77" s="638">
        <v>7246.66</v>
      </c>
      <c r="K77" s="635" t="s">
        <v>25</v>
      </c>
      <c r="L77" s="637" t="s">
        <v>25</v>
      </c>
      <c r="M77" s="638">
        <v>7181.72</v>
      </c>
      <c r="N77" s="792"/>
    </row>
    <row r="78" spans="2:14">
      <c r="B78" s="615"/>
      <c r="C78" s="616" t="s">
        <v>254</v>
      </c>
      <c r="D78" s="612" t="s">
        <v>25</v>
      </c>
      <c r="E78" s="612" t="s">
        <v>25</v>
      </c>
      <c r="F78" s="754" t="s">
        <v>25</v>
      </c>
      <c r="G78" s="790">
        <f>SUM(G77:G77)</f>
        <v>6171.52</v>
      </c>
      <c r="H78" s="754" t="s">
        <v>25</v>
      </c>
      <c r="I78" s="612" t="s">
        <v>25</v>
      </c>
      <c r="J78" s="755">
        <f>SUM(J77:J77)</f>
        <v>7246.66</v>
      </c>
      <c r="K78" s="612" t="s">
        <v>25</v>
      </c>
      <c r="L78" s="612" t="s">
        <v>25</v>
      </c>
      <c r="M78" s="755">
        <f>SUM(M77:M77)</f>
        <v>7181.72</v>
      </c>
      <c r="N78" s="792"/>
    </row>
    <row r="81" spans="2:14">
      <c r="B81" s="543" t="s">
        <v>235</v>
      </c>
      <c r="C81" s="543"/>
      <c r="D81" s="543"/>
      <c r="E81" s="543"/>
      <c r="F81" s="543"/>
      <c r="G81" s="543"/>
      <c r="H81" s="543"/>
      <c r="I81" s="543"/>
      <c r="J81" s="543"/>
      <c r="K81" s="543"/>
      <c r="L81" s="543"/>
      <c r="M81" s="543"/>
      <c r="N81" s="543"/>
    </row>
    <row r="82" spans="2:14">
      <c r="B82" s="374" t="s">
        <v>236</v>
      </c>
      <c r="N82" s="543"/>
    </row>
    <row r="83" spans="2:14">
      <c r="B83" s="374" t="s">
        <v>856</v>
      </c>
      <c r="N83" s="543"/>
    </row>
    <row r="84" spans="2:14">
      <c r="B84" s="583" t="s">
        <v>885</v>
      </c>
      <c r="N84" s="543"/>
    </row>
    <row r="85" spans="2:14">
      <c r="B85" s="1065" t="s">
        <v>176</v>
      </c>
      <c r="C85" s="1065" t="s">
        <v>244</v>
      </c>
      <c r="D85" s="1065" t="s">
        <v>440</v>
      </c>
      <c r="E85" s="1066" t="s">
        <v>559</v>
      </c>
      <c r="F85" s="1069"/>
      <c r="G85" s="1067"/>
      <c r="H85" s="1066" t="s">
        <v>560</v>
      </c>
      <c r="I85" s="1069"/>
      <c r="J85" s="1067"/>
      <c r="K85" s="1066" t="s">
        <v>561</v>
      </c>
      <c r="L85" s="1069"/>
      <c r="M85" s="1067"/>
      <c r="N85" s="543"/>
    </row>
    <row r="86" spans="2:14">
      <c r="B86" s="1065"/>
      <c r="C86" s="1065"/>
      <c r="D86" s="1065"/>
      <c r="E86" s="1065" t="s">
        <v>419</v>
      </c>
      <c r="F86" s="1065" t="s">
        <v>307</v>
      </c>
      <c r="G86" s="1065" t="s">
        <v>247</v>
      </c>
      <c r="H86" s="1065" t="s">
        <v>419</v>
      </c>
      <c r="I86" s="730" t="s">
        <v>366</v>
      </c>
      <c r="J86" s="1065" t="s">
        <v>247</v>
      </c>
      <c r="K86" s="1065" t="s">
        <v>419</v>
      </c>
      <c r="L86" s="730" t="s">
        <v>366</v>
      </c>
      <c r="M86" s="1065" t="s">
        <v>247</v>
      </c>
      <c r="N86" s="543"/>
    </row>
    <row r="87" spans="2:14">
      <c r="B87" s="1065"/>
      <c r="C87" s="1065"/>
      <c r="D87" s="1065"/>
      <c r="E87" s="1065"/>
      <c r="F87" s="1065"/>
      <c r="G87" s="1065"/>
      <c r="H87" s="1065"/>
      <c r="I87" s="730" t="s">
        <v>434</v>
      </c>
      <c r="J87" s="1065"/>
      <c r="K87" s="1065"/>
      <c r="L87" s="730" t="s">
        <v>434</v>
      </c>
      <c r="M87" s="1065"/>
      <c r="N87" s="543"/>
    </row>
    <row r="88" spans="2:14" ht="38.25">
      <c r="B88" s="730">
        <v>1</v>
      </c>
      <c r="C88" s="732" t="s">
        <v>638</v>
      </c>
      <c r="D88" s="635" t="s">
        <v>25</v>
      </c>
      <c r="E88" s="635" t="s">
        <v>25</v>
      </c>
      <c r="F88" s="752" t="s">
        <v>25</v>
      </c>
      <c r="G88" s="753">
        <v>26310.14</v>
      </c>
      <c r="H88" s="636" t="s">
        <v>25</v>
      </c>
      <c r="I88" s="637" t="s">
        <v>25</v>
      </c>
      <c r="J88" s="638">
        <v>30893.68</v>
      </c>
      <c r="K88" s="635" t="s">
        <v>25</v>
      </c>
      <c r="L88" s="637" t="s">
        <v>25</v>
      </c>
      <c r="M88" s="638">
        <v>30616.73</v>
      </c>
      <c r="N88" s="543"/>
    </row>
    <row r="89" spans="2:14">
      <c r="B89" s="615"/>
      <c r="C89" s="616" t="s">
        <v>254</v>
      </c>
      <c r="D89" s="612" t="s">
        <v>25</v>
      </c>
      <c r="E89" s="612" t="s">
        <v>25</v>
      </c>
      <c r="F89" s="754" t="s">
        <v>25</v>
      </c>
      <c r="G89" s="790">
        <f>SUM(G88:G88)</f>
        <v>26310.14</v>
      </c>
      <c r="H89" s="754" t="s">
        <v>25</v>
      </c>
      <c r="I89" s="612" t="s">
        <v>25</v>
      </c>
      <c r="J89" s="755">
        <f>SUM(J88:J88)</f>
        <v>30893.68</v>
      </c>
      <c r="K89" s="612" t="s">
        <v>25</v>
      </c>
      <c r="L89" s="612" t="s">
        <v>25</v>
      </c>
      <c r="M89" s="755">
        <f>SUM(M88:M88)</f>
        <v>30616.73</v>
      </c>
      <c r="N89" s="543"/>
    </row>
    <row r="92" spans="2:14">
      <c r="B92" s="543" t="s">
        <v>235</v>
      </c>
      <c r="C92" s="543"/>
      <c r="D92" s="543"/>
      <c r="E92" s="543"/>
      <c r="F92" s="543"/>
      <c r="G92" s="543"/>
      <c r="H92" s="543"/>
      <c r="I92" s="543"/>
      <c r="J92" s="543"/>
      <c r="K92" s="543"/>
      <c r="L92" s="543"/>
      <c r="M92" s="543"/>
      <c r="N92" s="543"/>
    </row>
    <row r="93" spans="2:14">
      <c r="B93" s="374" t="s">
        <v>236</v>
      </c>
      <c r="N93" s="543"/>
    </row>
    <row r="94" spans="2:14">
      <c r="B94" s="374" t="s">
        <v>895</v>
      </c>
      <c r="N94" s="543"/>
    </row>
    <row r="95" spans="2:14" ht="15.75" thickBot="1">
      <c r="B95" s="583" t="s">
        <v>669</v>
      </c>
      <c r="N95" s="543"/>
    </row>
    <row r="96" spans="2:14">
      <c r="B96" s="1143" t="s">
        <v>176</v>
      </c>
      <c r="C96" s="1145" t="s">
        <v>244</v>
      </c>
      <c r="D96" s="1145" t="s">
        <v>440</v>
      </c>
      <c r="E96" s="1146" t="s">
        <v>559</v>
      </c>
      <c r="F96" s="1147"/>
      <c r="G96" s="1148"/>
      <c r="H96" s="1146" t="s">
        <v>560</v>
      </c>
      <c r="I96" s="1147"/>
      <c r="J96" s="1148"/>
      <c r="K96" s="1146" t="s">
        <v>561</v>
      </c>
      <c r="L96" s="1147"/>
      <c r="M96" s="1149"/>
      <c r="N96" s="543"/>
    </row>
    <row r="97" spans="2:14">
      <c r="B97" s="1144"/>
      <c r="C97" s="1065"/>
      <c r="D97" s="1065"/>
      <c r="E97" s="1065" t="s">
        <v>419</v>
      </c>
      <c r="F97" s="1104" t="s">
        <v>307</v>
      </c>
      <c r="G97" s="1104" t="s">
        <v>247</v>
      </c>
      <c r="H97" s="1104" t="s">
        <v>419</v>
      </c>
      <c r="I97" s="1104" t="s">
        <v>307</v>
      </c>
      <c r="J97" s="1065" t="s">
        <v>247</v>
      </c>
      <c r="K97" s="1065" t="s">
        <v>419</v>
      </c>
      <c r="L97" s="1104" t="s">
        <v>307</v>
      </c>
      <c r="M97" s="1142" t="s">
        <v>247</v>
      </c>
      <c r="N97" s="543"/>
    </row>
    <row r="98" spans="2:14">
      <c r="B98" s="1144"/>
      <c r="C98" s="1065"/>
      <c r="D98" s="1065"/>
      <c r="E98" s="1065"/>
      <c r="F98" s="1104"/>
      <c r="G98" s="1104"/>
      <c r="H98" s="1104"/>
      <c r="I98" s="1104"/>
      <c r="J98" s="1065"/>
      <c r="K98" s="1065"/>
      <c r="L98" s="1104"/>
      <c r="M98" s="1142"/>
      <c r="N98" s="543"/>
    </row>
    <row r="99" spans="2:14" ht="51.75" thickBot="1">
      <c r="B99" s="763" t="s">
        <v>219</v>
      </c>
      <c r="C99" s="670" t="s">
        <v>680</v>
      </c>
      <c r="D99" s="671" t="s">
        <v>25</v>
      </c>
      <c r="E99" s="671" t="s">
        <v>25</v>
      </c>
      <c r="F99" s="672" t="s">
        <v>25</v>
      </c>
      <c r="G99" s="673">
        <f>G100+G108+G110</f>
        <v>83000</v>
      </c>
      <c r="H99" s="671" t="s">
        <v>25</v>
      </c>
      <c r="I99" s="672" t="s">
        <v>25</v>
      </c>
      <c r="J99" s="673">
        <f>J100+J108+J110</f>
        <v>0</v>
      </c>
      <c r="K99" s="671" t="s">
        <v>25</v>
      </c>
      <c r="L99" s="672" t="s">
        <v>25</v>
      </c>
      <c r="M99" s="764">
        <f>M100+M108+M110</f>
        <v>0</v>
      </c>
      <c r="N99" s="543"/>
    </row>
    <row r="100" spans="2:14" ht="26.25" thickBot="1">
      <c r="B100" s="653" t="s">
        <v>177</v>
      </c>
      <c r="C100" s="654" t="s">
        <v>670</v>
      </c>
      <c r="D100" s="655" t="s">
        <v>25</v>
      </c>
      <c r="E100" s="655" t="s">
        <v>25</v>
      </c>
      <c r="F100" s="656" t="s">
        <v>25</v>
      </c>
      <c r="G100" s="657">
        <f>SUM(G101:G107)</f>
        <v>44069.99</v>
      </c>
      <c r="H100" s="655" t="s">
        <v>25</v>
      </c>
      <c r="I100" s="655" t="s">
        <v>25</v>
      </c>
      <c r="J100" s="660">
        <v>0</v>
      </c>
      <c r="K100" s="655" t="s">
        <v>25</v>
      </c>
      <c r="L100" s="655" t="s">
        <v>25</v>
      </c>
      <c r="M100" s="661">
        <v>0</v>
      </c>
      <c r="N100" s="543"/>
    </row>
    <row r="101" spans="2:14" ht="38.25">
      <c r="B101" s="765" t="s">
        <v>764</v>
      </c>
      <c r="C101" s="646" t="s">
        <v>671</v>
      </c>
      <c r="D101" s="647" t="s">
        <v>676</v>
      </c>
      <c r="E101" s="647">
        <v>3</v>
      </c>
      <c r="F101" s="648">
        <v>298</v>
      </c>
      <c r="G101" s="649">
        <v>893.99</v>
      </c>
      <c r="H101" s="647" t="s">
        <v>676</v>
      </c>
      <c r="I101" s="651">
        <v>0</v>
      </c>
      <c r="J101" s="652">
        <v>0</v>
      </c>
      <c r="K101" s="647" t="s">
        <v>676</v>
      </c>
      <c r="L101" s="651">
        <v>0</v>
      </c>
      <c r="M101" s="766">
        <v>0</v>
      </c>
      <c r="N101" s="543"/>
    </row>
    <row r="102" spans="2:14" ht="25.5">
      <c r="B102" s="767" t="s">
        <v>765</v>
      </c>
      <c r="C102" s="621" t="s">
        <v>852</v>
      </c>
      <c r="D102" s="639" t="s">
        <v>676</v>
      </c>
      <c r="E102" s="639">
        <v>6</v>
      </c>
      <c r="F102" s="640">
        <v>4690</v>
      </c>
      <c r="G102" s="641">
        <f t="shared" ref="G102:G109" si="3">E102*F102</f>
        <v>28140</v>
      </c>
      <c r="H102" s="639" t="s">
        <v>676</v>
      </c>
      <c r="I102" s="643">
        <v>0</v>
      </c>
      <c r="J102" s="644">
        <v>0</v>
      </c>
      <c r="K102" s="639" t="s">
        <v>676</v>
      </c>
      <c r="L102" s="643">
        <v>0</v>
      </c>
      <c r="M102" s="768">
        <v>0</v>
      </c>
      <c r="N102" s="543"/>
    </row>
    <row r="103" spans="2:14" ht="25.5">
      <c r="B103" s="767" t="s">
        <v>766</v>
      </c>
      <c r="C103" s="621" t="s">
        <v>672</v>
      </c>
      <c r="D103" s="639" t="s">
        <v>676</v>
      </c>
      <c r="E103" s="639">
        <v>1</v>
      </c>
      <c r="F103" s="640">
        <v>4800</v>
      </c>
      <c r="G103" s="641">
        <f t="shared" si="3"/>
        <v>4800</v>
      </c>
      <c r="H103" s="639" t="s">
        <v>676</v>
      </c>
      <c r="I103" s="642">
        <v>0</v>
      </c>
      <c r="J103" s="644">
        <v>0</v>
      </c>
      <c r="K103" s="639" t="s">
        <v>676</v>
      </c>
      <c r="L103" s="643">
        <v>0</v>
      </c>
      <c r="M103" s="768">
        <v>0</v>
      </c>
      <c r="N103" s="543"/>
    </row>
    <row r="104" spans="2:14" ht="25.5">
      <c r="B104" s="767" t="s">
        <v>767</v>
      </c>
      <c r="C104" s="621" t="s">
        <v>673</v>
      </c>
      <c r="D104" s="639" t="s">
        <v>676</v>
      </c>
      <c r="E104" s="639">
        <v>1</v>
      </c>
      <c r="F104" s="640">
        <v>4900</v>
      </c>
      <c r="G104" s="641">
        <f t="shared" si="3"/>
        <v>4900</v>
      </c>
      <c r="H104" s="639" t="s">
        <v>676</v>
      </c>
      <c r="I104" s="643">
        <v>0</v>
      </c>
      <c r="J104" s="644">
        <v>0</v>
      </c>
      <c r="K104" s="639" t="s">
        <v>676</v>
      </c>
      <c r="L104" s="643">
        <v>0</v>
      </c>
      <c r="M104" s="768">
        <v>0</v>
      </c>
      <c r="N104" s="543"/>
    </row>
    <row r="105" spans="2:14" ht="25.5">
      <c r="B105" s="767" t="s">
        <v>768</v>
      </c>
      <c r="C105" s="621" t="s">
        <v>674</v>
      </c>
      <c r="D105" s="639" t="s">
        <v>676</v>
      </c>
      <c r="E105" s="639">
        <v>1</v>
      </c>
      <c r="F105" s="640">
        <v>4500</v>
      </c>
      <c r="G105" s="641">
        <f t="shared" si="3"/>
        <v>4500</v>
      </c>
      <c r="H105" s="639" t="s">
        <v>676</v>
      </c>
      <c r="I105" s="643">
        <v>0</v>
      </c>
      <c r="J105" s="644">
        <v>0</v>
      </c>
      <c r="K105" s="639" t="s">
        <v>676</v>
      </c>
      <c r="L105" s="643">
        <v>0</v>
      </c>
      <c r="M105" s="768">
        <v>0</v>
      </c>
      <c r="N105" s="543"/>
    </row>
    <row r="106" spans="2:14">
      <c r="B106" s="767" t="s">
        <v>769</v>
      </c>
      <c r="C106" s="621" t="s">
        <v>675</v>
      </c>
      <c r="D106" s="639" t="s">
        <v>469</v>
      </c>
      <c r="E106" s="639">
        <v>1</v>
      </c>
      <c r="F106" s="640">
        <v>353</v>
      </c>
      <c r="G106" s="641">
        <f t="shared" si="3"/>
        <v>353</v>
      </c>
      <c r="H106" s="639" t="s">
        <v>469</v>
      </c>
      <c r="I106" s="643">
        <v>0</v>
      </c>
      <c r="J106" s="644">
        <v>0</v>
      </c>
      <c r="K106" s="639" t="s">
        <v>469</v>
      </c>
      <c r="L106" s="643">
        <v>0</v>
      </c>
      <c r="M106" s="768">
        <v>0</v>
      </c>
      <c r="N106" s="543"/>
    </row>
    <row r="107" spans="2:14" ht="15.75" thickBot="1">
      <c r="B107" s="769" t="s">
        <v>770</v>
      </c>
      <c r="C107" s="662" t="s">
        <v>675</v>
      </c>
      <c r="D107" s="663" t="s">
        <v>469</v>
      </c>
      <c r="E107" s="663">
        <v>1</v>
      </c>
      <c r="F107" s="664">
        <v>483</v>
      </c>
      <c r="G107" s="665">
        <f t="shared" si="3"/>
        <v>483</v>
      </c>
      <c r="H107" s="663" t="s">
        <v>469</v>
      </c>
      <c r="I107" s="667">
        <v>0</v>
      </c>
      <c r="J107" s="668">
        <v>0</v>
      </c>
      <c r="K107" s="663" t="s">
        <v>469</v>
      </c>
      <c r="L107" s="667">
        <v>0</v>
      </c>
      <c r="M107" s="770">
        <v>0</v>
      </c>
      <c r="N107" s="543"/>
    </row>
    <row r="108" spans="2:14" ht="39" thickBot="1">
      <c r="B108" s="653" t="s">
        <v>178</v>
      </c>
      <c r="C108" s="654" t="s">
        <v>677</v>
      </c>
      <c r="D108" s="655" t="s">
        <v>25</v>
      </c>
      <c r="E108" s="655" t="s">
        <v>25</v>
      </c>
      <c r="F108" s="656" t="s">
        <v>25</v>
      </c>
      <c r="G108" s="657">
        <f>G109</f>
        <v>399</v>
      </c>
      <c r="H108" s="655" t="s">
        <v>25</v>
      </c>
      <c r="I108" s="655" t="s">
        <v>25</v>
      </c>
      <c r="J108" s="660"/>
      <c r="K108" s="655" t="s">
        <v>25</v>
      </c>
      <c r="L108" s="655" t="s">
        <v>25</v>
      </c>
      <c r="M108" s="661"/>
      <c r="N108" s="543"/>
    </row>
    <row r="109" spans="2:14" ht="15.75" thickBot="1">
      <c r="B109" s="765" t="s">
        <v>771</v>
      </c>
      <c r="C109" s="646" t="s">
        <v>678</v>
      </c>
      <c r="D109" s="647" t="s">
        <v>679</v>
      </c>
      <c r="E109" s="647">
        <v>2</v>
      </c>
      <c r="F109" s="648">
        <v>199.5</v>
      </c>
      <c r="G109" s="649">
        <f t="shared" si="3"/>
        <v>399</v>
      </c>
      <c r="H109" s="647" t="s">
        <v>679</v>
      </c>
      <c r="I109" s="651">
        <v>0</v>
      </c>
      <c r="J109" s="652">
        <v>0</v>
      </c>
      <c r="K109" s="647" t="s">
        <v>679</v>
      </c>
      <c r="L109" s="651">
        <v>0</v>
      </c>
      <c r="M109" s="766">
        <v>0</v>
      </c>
      <c r="N109" s="543"/>
    </row>
    <row r="110" spans="2:14" ht="26.25" thickBot="1">
      <c r="B110" s="653" t="s">
        <v>896</v>
      </c>
      <c r="C110" s="654" t="s">
        <v>898</v>
      </c>
      <c r="D110" s="655" t="s">
        <v>25</v>
      </c>
      <c r="E110" s="655" t="s">
        <v>25</v>
      </c>
      <c r="F110" s="656" t="s">
        <v>25</v>
      </c>
      <c r="G110" s="657">
        <f>SUM(G111:G112)</f>
        <v>38531.01</v>
      </c>
      <c r="H110" s="655" t="s">
        <v>25</v>
      </c>
      <c r="I110" s="655" t="s">
        <v>25</v>
      </c>
      <c r="J110" s="660">
        <v>0</v>
      </c>
      <c r="K110" s="655" t="s">
        <v>25</v>
      </c>
      <c r="L110" s="655" t="s">
        <v>25</v>
      </c>
      <c r="M110" s="661"/>
      <c r="N110" s="543"/>
    </row>
    <row r="111" spans="2:14">
      <c r="B111" s="765" t="s">
        <v>897</v>
      </c>
      <c r="C111" s="646" t="s">
        <v>899</v>
      </c>
      <c r="D111" s="647" t="s">
        <v>469</v>
      </c>
      <c r="E111" s="647">
        <v>1</v>
      </c>
      <c r="F111" s="648">
        <v>149</v>
      </c>
      <c r="G111" s="649">
        <f t="shared" ref="G111" si="4">E111*F111</f>
        <v>149</v>
      </c>
      <c r="H111" s="647" t="s">
        <v>469</v>
      </c>
      <c r="I111" s="651">
        <v>0</v>
      </c>
      <c r="J111" s="652">
        <v>0</v>
      </c>
      <c r="K111" s="647" t="s">
        <v>469</v>
      </c>
      <c r="L111" s="651">
        <v>0</v>
      </c>
      <c r="M111" s="766">
        <v>0</v>
      </c>
      <c r="N111" s="543"/>
    </row>
    <row r="112" spans="2:14">
      <c r="B112" s="771" t="s">
        <v>901</v>
      </c>
      <c r="C112" s="756" t="s">
        <v>900</v>
      </c>
      <c r="D112" s="757" t="s">
        <v>902</v>
      </c>
      <c r="E112" s="757" t="s">
        <v>25</v>
      </c>
      <c r="F112" s="758" t="s">
        <v>25</v>
      </c>
      <c r="G112" s="759">
        <v>38382.01</v>
      </c>
      <c r="H112" s="757" t="s">
        <v>902</v>
      </c>
      <c r="I112" s="760">
        <v>0</v>
      </c>
      <c r="J112" s="761">
        <v>0</v>
      </c>
      <c r="K112" s="757" t="s">
        <v>902</v>
      </c>
      <c r="L112" s="760">
        <v>0</v>
      </c>
      <c r="M112" s="772">
        <v>0</v>
      </c>
      <c r="N112" s="543"/>
    </row>
    <row r="113" spans="2:14" ht="51.75" thickBot="1">
      <c r="B113" s="763" t="s">
        <v>221</v>
      </c>
      <c r="C113" s="670" t="s">
        <v>681</v>
      </c>
      <c r="D113" s="671" t="s">
        <v>25</v>
      </c>
      <c r="E113" s="671" t="s">
        <v>25</v>
      </c>
      <c r="F113" s="672" t="s">
        <v>25</v>
      </c>
      <c r="G113" s="673">
        <f>G114+G163+G192+G194+G196</f>
        <v>537603.27</v>
      </c>
      <c r="H113" s="671" t="s">
        <v>25</v>
      </c>
      <c r="I113" s="672" t="s">
        <v>25</v>
      </c>
      <c r="J113" s="673">
        <f>J114+J163+J192+J194+J196</f>
        <v>477131.95</v>
      </c>
      <c r="K113" s="671" t="s">
        <v>25</v>
      </c>
      <c r="L113" s="672" t="s">
        <v>25</v>
      </c>
      <c r="M113" s="764">
        <f>M114+M163+M192+M194+M196</f>
        <v>341416.55</v>
      </c>
      <c r="N113" s="543"/>
    </row>
    <row r="114" spans="2:14" ht="39" thickBot="1">
      <c r="B114" s="653" t="s">
        <v>405</v>
      </c>
      <c r="C114" s="654" t="s">
        <v>824</v>
      </c>
      <c r="D114" s="655" t="s">
        <v>25</v>
      </c>
      <c r="E114" s="655" t="s">
        <v>25</v>
      </c>
      <c r="F114" s="656" t="s">
        <v>25</v>
      </c>
      <c r="G114" s="657">
        <f>SUM(G115:G162)</f>
        <v>94073.99</v>
      </c>
      <c r="H114" s="658" t="s">
        <v>25</v>
      </c>
      <c r="I114" s="659" t="s">
        <v>25</v>
      </c>
      <c r="J114" s="660">
        <v>0</v>
      </c>
      <c r="K114" s="655" t="s">
        <v>25</v>
      </c>
      <c r="L114" s="659" t="s">
        <v>25</v>
      </c>
      <c r="M114" s="661">
        <v>0</v>
      </c>
      <c r="N114" s="543"/>
    </row>
    <row r="115" spans="2:14">
      <c r="B115" s="765" t="s">
        <v>772</v>
      </c>
      <c r="C115" s="646" t="s">
        <v>682</v>
      </c>
      <c r="D115" s="647" t="s">
        <v>469</v>
      </c>
      <c r="E115" s="647">
        <v>14</v>
      </c>
      <c r="F115" s="648">
        <v>585</v>
      </c>
      <c r="G115" s="649">
        <f>E115*F115</f>
        <v>8190</v>
      </c>
      <c r="H115" s="674" t="s">
        <v>25</v>
      </c>
      <c r="I115" s="675" t="s">
        <v>25</v>
      </c>
      <c r="J115" s="676">
        <v>0</v>
      </c>
      <c r="K115" s="677" t="s">
        <v>25</v>
      </c>
      <c r="L115" s="675" t="s">
        <v>25</v>
      </c>
      <c r="M115" s="773">
        <v>0</v>
      </c>
      <c r="N115" s="543"/>
    </row>
    <row r="116" spans="2:14">
      <c r="B116" s="767" t="s">
        <v>773</v>
      </c>
      <c r="C116" s="621" t="s">
        <v>683</v>
      </c>
      <c r="D116" s="639" t="s">
        <v>469</v>
      </c>
      <c r="E116" s="639">
        <v>6</v>
      </c>
      <c r="F116" s="640">
        <v>835</v>
      </c>
      <c r="G116" s="641">
        <f t="shared" ref="G116:G179" si="5">E116*F116</f>
        <v>5010</v>
      </c>
      <c r="H116" s="636" t="s">
        <v>25</v>
      </c>
      <c r="I116" s="637" t="s">
        <v>25</v>
      </c>
      <c r="J116" s="638">
        <v>0</v>
      </c>
      <c r="K116" s="635" t="s">
        <v>25</v>
      </c>
      <c r="L116" s="637" t="s">
        <v>25</v>
      </c>
      <c r="M116" s="774">
        <v>0</v>
      </c>
      <c r="N116" s="543"/>
    </row>
    <row r="117" spans="2:14" ht="25.5">
      <c r="B117" s="767" t="s">
        <v>774</v>
      </c>
      <c r="C117" s="621" t="s">
        <v>684</v>
      </c>
      <c r="D117" s="639" t="s">
        <v>469</v>
      </c>
      <c r="E117" s="639">
        <v>14</v>
      </c>
      <c r="F117" s="640">
        <v>900</v>
      </c>
      <c r="G117" s="641">
        <f t="shared" si="5"/>
        <v>12600</v>
      </c>
      <c r="H117" s="636" t="s">
        <v>25</v>
      </c>
      <c r="I117" s="637" t="s">
        <v>25</v>
      </c>
      <c r="J117" s="638">
        <v>0</v>
      </c>
      <c r="K117" s="635" t="s">
        <v>25</v>
      </c>
      <c r="L117" s="637" t="s">
        <v>25</v>
      </c>
      <c r="M117" s="774">
        <v>0</v>
      </c>
      <c r="N117" s="543"/>
    </row>
    <row r="118" spans="2:14">
      <c r="B118" s="767" t="s">
        <v>775</v>
      </c>
      <c r="C118" s="621" t="s">
        <v>685</v>
      </c>
      <c r="D118" s="639" t="s">
        <v>469</v>
      </c>
      <c r="E118" s="639">
        <v>10</v>
      </c>
      <c r="F118" s="640">
        <v>860</v>
      </c>
      <c r="G118" s="641">
        <f t="shared" si="5"/>
        <v>8600</v>
      </c>
      <c r="H118" s="636" t="s">
        <v>25</v>
      </c>
      <c r="I118" s="637" t="s">
        <v>25</v>
      </c>
      <c r="J118" s="638">
        <v>0</v>
      </c>
      <c r="K118" s="635" t="s">
        <v>25</v>
      </c>
      <c r="L118" s="637" t="s">
        <v>25</v>
      </c>
      <c r="M118" s="774">
        <v>0</v>
      </c>
      <c r="N118" s="543"/>
    </row>
    <row r="119" spans="2:14">
      <c r="B119" s="767" t="s">
        <v>776</v>
      </c>
      <c r="C119" s="621" t="s">
        <v>686</v>
      </c>
      <c r="D119" s="639" t="s">
        <v>469</v>
      </c>
      <c r="E119" s="639">
        <v>15</v>
      </c>
      <c r="F119" s="640">
        <v>130</v>
      </c>
      <c r="G119" s="641">
        <f t="shared" si="5"/>
        <v>1950</v>
      </c>
      <c r="H119" s="636" t="s">
        <v>25</v>
      </c>
      <c r="I119" s="637" t="s">
        <v>25</v>
      </c>
      <c r="J119" s="638">
        <v>0</v>
      </c>
      <c r="K119" s="635" t="s">
        <v>25</v>
      </c>
      <c r="L119" s="637" t="s">
        <v>25</v>
      </c>
      <c r="M119" s="774">
        <v>0</v>
      </c>
      <c r="N119" s="543"/>
    </row>
    <row r="120" spans="2:14">
      <c r="B120" s="767" t="s">
        <v>777</v>
      </c>
      <c r="C120" s="621" t="s">
        <v>687</v>
      </c>
      <c r="D120" s="639" t="s">
        <v>469</v>
      </c>
      <c r="E120" s="639">
        <v>300</v>
      </c>
      <c r="F120" s="640">
        <v>1.2</v>
      </c>
      <c r="G120" s="641">
        <f t="shared" si="5"/>
        <v>360</v>
      </c>
      <c r="H120" s="636" t="s">
        <v>25</v>
      </c>
      <c r="I120" s="637" t="s">
        <v>25</v>
      </c>
      <c r="J120" s="638">
        <v>0</v>
      </c>
      <c r="K120" s="635" t="s">
        <v>25</v>
      </c>
      <c r="L120" s="637" t="s">
        <v>25</v>
      </c>
      <c r="M120" s="774">
        <v>0</v>
      </c>
      <c r="N120" s="543"/>
    </row>
    <row r="121" spans="2:14">
      <c r="B121" s="767" t="s">
        <v>778</v>
      </c>
      <c r="C121" s="621" t="s">
        <v>688</v>
      </c>
      <c r="D121" s="639" t="s">
        <v>730</v>
      </c>
      <c r="E121" s="639">
        <v>1</v>
      </c>
      <c r="F121" s="640">
        <v>50</v>
      </c>
      <c r="G121" s="641">
        <f t="shared" si="5"/>
        <v>50</v>
      </c>
      <c r="H121" s="636" t="s">
        <v>25</v>
      </c>
      <c r="I121" s="637" t="s">
        <v>25</v>
      </c>
      <c r="J121" s="638">
        <v>0</v>
      </c>
      <c r="K121" s="635" t="s">
        <v>25</v>
      </c>
      <c r="L121" s="637" t="s">
        <v>25</v>
      </c>
      <c r="M121" s="774">
        <v>0</v>
      </c>
      <c r="N121" s="543"/>
    </row>
    <row r="122" spans="2:14">
      <c r="B122" s="767" t="s">
        <v>779</v>
      </c>
      <c r="C122" s="621" t="s">
        <v>689</v>
      </c>
      <c r="D122" s="639" t="s">
        <v>731</v>
      </c>
      <c r="E122" s="639">
        <v>50</v>
      </c>
      <c r="F122" s="640">
        <v>3.5</v>
      </c>
      <c r="G122" s="641">
        <f t="shared" si="5"/>
        <v>175</v>
      </c>
      <c r="H122" s="636" t="s">
        <v>25</v>
      </c>
      <c r="I122" s="637" t="s">
        <v>25</v>
      </c>
      <c r="J122" s="638">
        <v>0</v>
      </c>
      <c r="K122" s="635" t="s">
        <v>25</v>
      </c>
      <c r="L122" s="637" t="s">
        <v>25</v>
      </c>
      <c r="M122" s="774">
        <v>0</v>
      </c>
      <c r="N122" s="543"/>
    </row>
    <row r="123" spans="2:14">
      <c r="B123" s="767" t="s">
        <v>780</v>
      </c>
      <c r="C123" s="621" t="s">
        <v>690</v>
      </c>
      <c r="D123" s="639" t="s">
        <v>469</v>
      </c>
      <c r="E123" s="639">
        <v>500</v>
      </c>
      <c r="F123" s="640">
        <v>0.8</v>
      </c>
      <c r="G123" s="641">
        <f t="shared" si="5"/>
        <v>400</v>
      </c>
      <c r="H123" s="636" t="s">
        <v>25</v>
      </c>
      <c r="I123" s="637" t="s">
        <v>25</v>
      </c>
      <c r="J123" s="638">
        <v>0</v>
      </c>
      <c r="K123" s="635" t="s">
        <v>25</v>
      </c>
      <c r="L123" s="637" t="s">
        <v>25</v>
      </c>
      <c r="M123" s="774">
        <v>0</v>
      </c>
      <c r="N123" s="543"/>
    </row>
    <row r="124" spans="2:14">
      <c r="B124" s="767" t="s">
        <v>781</v>
      </c>
      <c r="C124" s="621" t="s">
        <v>691</v>
      </c>
      <c r="D124" s="639" t="s">
        <v>732</v>
      </c>
      <c r="E124" s="639">
        <v>1.1399999999999999</v>
      </c>
      <c r="F124" s="640">
        <v>300</v>
      </c>
      <c r="G124" s="641">
        <f t="shared" si="5"/>
        <v>342</v>
      </c>
      <c r="H124" s="636" t="s">
        <v>25</v>
      </c>
      <c r="I124" s="637" t="s">
        <v>25</v>
      </c>
      <c r="J124" s="638">
        <v>0</v>
      </c>
      <c r="K124" s="635" t="s">
        <v>25</v>
      </c>
      <c r="L124" s="637" t="s">
        <v>25</v>
      </c>
      <c r="M124" s="774">
        <v>0</v>
      </c>
      <c r="N124" s="543"/>
    </row>
    <row r="125" spans="2:14" ht="25.5">
      <c r="B125" s="767" t="s">
        <v>782</v>
      </c>
      <c r="C125" s="621" t="s">
        <v>692</v>
      </c>
      <c r="D125" s="639" t="s">
        <v>732</v>
      </c>
      <c r="E125" s="639">
        <v>1</v>
      </c>
      <c r="F125" s="640">
        <v>330</v>
      </c>
      <c r="G125" s="641">
        <f t="shared" si="5"/>
        <v>330</v>
      </c>
      <c r="H125" s="636" t="s">
        <v>25</v>
      </c>
      <c r="I125" s="637" t="s">
        <v>25</v>
      </c>
      <c r="J125" s="638">
        <v>0</v>
      </c>
      <c r="K125" s="635" t="s">
        <v>25</v>
      </c>
      <c r="L125" s="637" t="s">
        <v>25</v>
      </c>
      <c r="M125" s="774">
        <v>0</v>
      </c>
      <c r="N125" s="543"/>
    </row>
    <row r="126" spans="2:14" ht="25.5">
      <c r="B126" s="767" t="s">
        <v>783</v>
      </c>
      <c r="C126" s="621" t="s">
        <v>693</v>
      </c>
      <c r="D126" s="639" t="s">
        <v>469</v>
      </c>
      <c r="E126" s="639">
        <v>22</v>
      </c>
      <c r="F126" s="640">
        <v>120</v>
      </c>
      <c r="G126" s="641">
        <f t="shared" si="5"/>
        <v>2640</v>
      </c>
      <c r="H126" s="636" t="s">
        <v>25</v>
      </c>
      <c r="I126" s="637" t="s">
        <v>25</v>
      </c>
      <c r="J126" s="638">
        <v>0</v>
      </c>
      <c r="K126" s="635" t="s">
        <v>25</v>
      </c>
      <c r="L126" s="637" t="s">
        <v>25</v>
      </c>
      <c r="M126" s="774">
        <v>0</v>
      </c>
      <c r="N126" s="543"/>
    </row>
    <row r="127" spans="2:14" ht="25.5">
      <c r="B127" s="767" t="s">
        <v>784</v>
      </c>
      <c r="C127" s="621" t="s">
        <v>694</v>
      </c>
      <c r="D127" s="639" t="s">
        <v>469</v>
      </c>
      <c r="E127" s="639">
        <v>6</v>
      </c>
      <c r="F127" s="640">
        <v>220</v>
      </c>
      <c r="G127" s="641">
        <f t="shared" si="5"/>
        <v>1320</v>
      </c>
      <c r="H127" s="636" t="s">
        <v>25</v>
      </c>
      <c r="I127" s="637" t="s">
        <v>25</v>
      </c>
      <c r="J127" s="638">
        <v>0</v>
      </c>
      <c r="K127" s="635" t="s">
        <v>25</v>
      </c>
      <c r="L127" s="637" t="s">
        <v>25</v>
      </c>
      <c r="M127" s="774">
        <v>0</v>
      </c>
      <c r="N127" s="543"/>
    </row>
    <row r="128" spans="2:14" ht="25.5">
      <c r="B128" s="767" t="s">
        <v>785</v>
      </c>
      <c r="C128" s="621" t="s">
        <v>695</v>
      </c>
      <c r="D128" s="639" t="s">
        <v>469</v>
      </c>
      <c r="E128" s="639">
        <v>12</v>
      </c>
      <c r="F128" s="640">
        <v>42</v>
      </c>
      <c r="G128" s="641">
        <f t="shared" si="5"/>
        <v>504</v>
      </c>
      <c r="H128" s="636" t="s">
        <v>25</v>
      </c>
      <c r="I128" s="637" t="s">
        <v>25</v>
      </c>
      <c r="J128" s="638">
        <v>0</v>
      </c>
      <c r="K128" s="635" t="s">
        <v>25</v>
      </c>
      <c r="L128" s="637" t="s">
        <v>25</v>
      </c>
      <c r="M128" s="774">
        <v>0</v>
      </c>
      <c r="N128" s="543"/>
    </row>
    <row r="129" spans="2:14">
      <c r="B129" s="767" t="s">
        <v>786</v>
      </c>
      <c r="C129" s="621" t="s">
        <v>696</v>
      </c>
      <c r="D129" s="639" t="s">
        <v>469</v>
      </c>
      <c r="E129" s="639">
        <v>4</v>
      </c>
      <c r="F129" s="640">
        <v>12.99</v>
      </c>
      <c r="G129" s="641">
        <f t="shared" si="5"/>
        <v>51.96</v>
      </c>
      <c r="H129" s="636" t="s">
        <v>25</v>
      </c>
      <c r="I129" s="637" t="s">
        <v>25</v>
      </c>
      <c r="J129" s="638">
        <v>0</v>
      </c>
      <c r="K129" s="635" t="s">
        <v>25</v>
      </c>
      <c r="L129" s="637" t="s">
        <v>25</v>
      </c>
      <c r="M129" s="774">
        <v>0</v>
      </c>
      <c r="N129" s="543"/>
    </row>
    <row r="130" spans="2:14" ht="25.5">
      <c r="B130" s="767" t="s">
        <v>787</v>
      </c>
      <c r="C130" s="621" t="s">
        <v>697</v>
      </c>
      <c r="D130" s="639" t="s">
        <v>469</v>
      </c>
      <c r="E130" s="639">
        <v>10</v>
      </c>
      <c r="F130" s="640">
        <v>124</v>
      </c>
      <c r="G130" s="641">
        <f t="shared" si="5"/>
        <v>1240</v>
      </c>
      <c r="H130" s="636" t="s">
        <v>25</v>
      </c>
      <c r="I130" s="637" t="s">
        <v>25</v>
      </c>
      <c r="J130" s="638">
        <v>0</v>
      </c>
      <c r="K130" s="635" t="s">
        <v>25</v>
      </c>
      <c r="L130" s="637" t="s">
        <v>25</v>
      </c>
      <c r="M130" s="774">
        <v>0</v>
      </c>
      <c r="N130" s="543"/>
    </row>
    <row r="131" spans="2:14">
      <c r="B131" s="767" t="s">
        <v>788</v>
      </c>
      <c r="C131" s="621" t="s">
        <v>698</v>
      </c>
      <c r="D131" s="639" t="s">
        <v>469</v>
      </c>
      <c r="E131" s="639">
        <v>1</v>
      </c>
      <c r="F131" s="640">
        <v>1060</v>
      </c>
      <c r="G131" s="641">
        <f t="shared" si="5"/>
        <v>1060</v>
      </c>
      <c r="H131" s="636" t="s">
        <v>25</v>
      </c>
      <c r="I131" s="637" t="s">
        <v>25</v>
      </c>
      <c r="J131" s="638">
        <v>0</v>
      </c>
      <c r="K131" s="635" t="s">
        <v>25</v>
      </c>
      <c r="L131" s="637" t="s">
        <v>25</v>
      </c>
      <c r="M131" s="774">
        <v>0</v>
      </c>
      <c r="N131" s="543"/>
    </row>
    <row r="132" spans="2:14" ht="25.5">
      <c r="B132" s="767" t="s">
        <v>789</v>
      </c>
      <c r="C132" s="621" t="s">
        <v>699</v>
      </c>
      <c r="D132" s="639" t="s">
        <v>469</v>
      </c>
      <c r="E132" s="639">
        <v>3</v>
      </c>
      <c r="F132" s="640">
        <v>89</v>
      </c>
      <c r="G132" s="641">
        <f t="shared" si="5"/>
        <v>267</v>
      </c>
      <c r="H132" s="636" t="s">
        <v>25</v>
      </c>
      <c r="I132" s="637" t="s">
        <v>25</v>
      </c>
      <c r="J132" s="638">
        <v>0</v>
      </c>
      <c r="K132" s="635" t="s">
        <v>25</v>
      </c>
      <c r="L132" s="637" t="s">
        <v>25</v>
      </c>
      <c r="M132" s="774">
        <v>0</v>
      </c>
      <c r="N132" s="543"/>
    </row>
    <row r="133" spans="2:14">
      <c r="B133" s="767" t="s">
        <v>790</v>
      </c>
      <c r="C133" s="621" t="s">
        <v>700</v>
      </c>
      <c r="D133" s="639" t="s">
        <v>469</v>
      </c>
      <c r="E133" s="639">
        <v>10</v>
      </c>
      <c r="F133" s="640">
        <v>189</v>
      </c>
      <c r="G133" s="641">
        <f t="shared" si="5"/>
        <v>1890</v>
      </c>
      <c r="H133" s="636" t="s">
        <v>25</v>
      </c>
      <c r="I133" s="637" t="s">
        <v>25</v>
      </c>
      <c r="J133" s="638">
        <v>0</v>
      </c>
      <c r="K133" s="635" t="s">
        <v>25</v>
      </c>
      <c r="L133" s="637" t="s">
        <v>25</v>
      </c>
      <c r="M133" s="774">
        <v>0</v>
      </c>
      <c r="N133" s="543"/>
    </row>
    <row r="134" spans="2:14">
      <c r="B134" s="767" t="s">
        <v>791</v>
      </c>
      <c r="C134" s="621" t="s">
        <v>701</v>
      </c>
      <c r="D134" s="639" t="s">
        <v>469</v>
      </c>
      <c r="E134" s="639">
        <v>1</v>
      </c>
      <c r="F134" s="640">
        <v>509</v>
      </c>
      <c r="G134" s="641">
        <f t="shared" si="5"/>
        <v>509</v>
      </c>
      <c r="H134" s="636" t="s">
        <v>25</v>
      </c>
      <c r="I134" s="637" t="s">
        <v>25</v>
      </c>
      <c r="J134" s="638">
        <v>0</v>
      </c>
      <c r="K134" s="635" t="s">
        <v>25</v>
      </c>
      <c r="L134" s="637" t="s">
        <v>25</v>
      </c>
      <c r="M134" s="774">
        <v>0</v>
      </c>
      <c r="N134" s="543"/>
    </row>
    <row r="135" spans="2:14" ht="25.5">
      <c r="B135" s="767" t="s">
        <v>792</v>
      </c>
      <c r="C135" s="621" t="s">
        <v>702</v>
      </c>
      <c r="D135" s="639" t="s">
        <v>469</v>
      </c>
      <c r="E135" s="639">
        <v>4</v>
      </c>
      <c r="F135" s="640">
        <v>695</v>
      </c>
      <c r="G135" s="641">
        <f t="shared" si="5"/>
        <v>2780</v>
      </c>
      <c r="H135" s="636" t="s">
        <v>25</v>
      </c>
      <c r="I135" s="637" t="s">
        <v>25</v>
      </c>
      <c r="J135" s="638">
        <v>0</v>
      </c>
      <c r="K135" s="635" t="s">
        <v>25</v>
      </c>
      <c r="L135" s="637" t="s">
        <v>25</v>
      </c>
      <c r="M135" s="774">
        <v>0</v>
      </c>
      <c r="N135" s="543"/>
    </row>
    <row r="136" spans="2:14">
      <c r="B136" s="767" t="s">
        <v>793</v>
      </c>
      <c r="C136" s="621" t="s">
        <v>703</v>
      </c>
      <c r="D136" s="639" t="s">
        <v>469</v>
      </c>
      <c r="E136" s="639">
        <v>3</v>
      </c>
      <c r="F136" s="640">
        <v>109</v>
      </c>
      <c r="G136" s="641">
        <f t="shared" si="5"/>
        <v>327</v>
      </c>
      <c r="H136" s="636" t="s">
        <v>25</v>
      </c>
      <c r="I136" s="637" t="s">
        <v>25</v>
      </c>
      <c r="J136" s="638">
        <v>0</v>
      </c>
      <c r="K136" s="635" t="s">
        <v>25</v>
      </c>
      <c r="L136" s="637" t="s">
        <v>25</v>
      </c>
      <c r="M136" s="774">
        <v>0</v>
      </c>
      <c r="N136" s="543"/>
    </row>
    <row r="137" spans="2:14" ht="25.5">
      <c r="B137" s="767" t="s">
        <v>794</v>
      </c>
      <c r="C137" s="621" t="s">
        <v>704</v>
      </c>
      <c r="D137" s="639" t="s">
        <v>469</v>
      </c>
      <c r="E137" s="639">
        <v>1</v>
      </c>
      <c r="F137" s="640">
        <v>579</v>
      </c>
      <c r="G137" s="641">
        <f t="shared" si="5"/>
        <v>579</v>
      </c>
      <c r="H137" s="636" t="s">
        <v>25</v>
      </c>
      <c r="I137" s="637" t="s">
        <v>25</v>
      </c>
      <c r="J137" s="638">
        <v>0</v>
      </c>
      <c r="K137" s="635" t="s">
        <v>25</v>
      </c>
      <c r="L137" s="637" t="s">
        <v>25</v>
      </c>
      <c r="M137" s="774">
        <v>0</v>
      </c>
      <c r="N137" s="543"/>
    </row>
    <row r="138" spans="2:14" ht="25.5">
      <c r="B138" s="767" t="s">
        <v>795</v>
      </c>
      <c r="C138" s="621" t="s">
        <v>705</v>
      </c>
      <c r="D138" s="639" t="s">
        <v>469</v>
      </c>
      <c r="E138" s="639">
        <v>3</v>
      </c>
      <c r="F138" s="640">
        <v>119</v>
      </c>
      <c r="G138" s="641">
        <f t="shared" si="5"/>
        <v>357</v>
      </c>
      <c r="H138" s="636" t="s">
        <v>25</v>
      </c>
      <c r="I138" s="637" t="s">
        <v>25</v>
      </c>
      <c r="J138" s="638">
        <v>0</v>
      </c>
      <c r="K138" s="635" t="s">
        <v>25</v>
      </c>
      <c r="L138" s="637" t="s">
        <v>25</v>
      </c>
      <c r="M138" s="774">
        <v>0</v>
      </c>
      <c r="N138" s="543"/>
    </row>
    <row r="139" spans="2:14">
      <c r="B139" s="767" t="s">
        <v>796</v>
      </c>
      <c r="C139" s="621" t="s">
        <v>706</v>
      </c>
      <c r="D139" s="639" t="s">
        <v>469</v>
      </c>
      <c r="E139" s="639">
        <v>1</v>
      </c>
      <c r="F139" s="640">
        <v>305</v>
      </c>
      <c r="G139" s="641">
        <f t="shared" si="5"/>
        <v>305</v>
      </c>
      <c r="H139" s="636" t="s">
        <v>25</v>
      </c>
      <c r="I139" s="637" t="s">
        <v>25</v>
      </c>
      <c r="J139" s="638">
        <v>0</v>
      </c>
      <c r="K139" s="635" t="s">
        <v>25</v>
      </c>
      <c r="L139" s="637" t="s">
        <v>25</v>
      </c>
      <c r="M139" s="774">
        <v>0</v>
      </c>
      <c r="N139" s="543"/>
    </row>
    <row r="140" spans="2:14">
      <c r="B140" s="767" t="s">
        <v>797</v>
      </c>
      <c r="C140" s="621" t="s">
        <v>707</v>
      </c>
      <c r="D140" s="639" t="s">
        <v>469</v>
      </c>
      <c r="E140" s="639">
        <v>1</v>
      </c>
      <c r="F140" s="640">
        <v>305</v>
      </c>
      <c r="G140" s="641">
        <f t="shared" si="5"/>
        <v>305</v>
      </c>
      <c r="H140" s="636" t="s">
        <v>25</v>
      </c>
      <c r="I140" s="637" t="s">
        <v>25</v>
      </c>
      <c r="J140" s="638">
        <v>0</v>
      </c>
      <c r="K140" s="635" t="s">
        <v>25</v>
      </c>
      <c r="L140" s="637" t="s">
        <v>25</v>
      </c>
      <c r="M140" s="774">
        <v>0</v>
      </c>
      <c r="N140" s="543"/>
    </row>
    <row r="141" spans="2:14">
      <c r="B141" s="767" t="s">
        <v>798</v>
      </c>
      <c r="C141" s="621" t="s">
        <v>708</v>
      </c>
      <c r="D141" s="639" t="s">
        <v>469</v>
      </c>
      <c r="E141" s="639">
        <v>1</v>
      </c>
      <c r="F141" s="640">
        <v>305</v>
      </c>
      <c r="G141" s="641">
        <f t="shared" si="5"/>
        <v>305</v>
      </c>
      <c r="H141" s="636" t="s">
        <v>25</v>
      </c>
      <c r="I141" s="637" t="s">
        <v>25</v>
      </c>
      <c r="J141" s="638">
        <v>0</v>
      </c>
      <c r="K141" s="635" t="s">
        <v>25</v>
      </c>
      <c r="L141" s="637" t="s">
        <v>25</v>
      </c>
      <c r="M141" s="774">
        <v>0</v>
      </c>
      <c r="N141" s="543"/>
    </row>
    <row r="142" spans="2:14" ht="25.5">
      <c r="B142" s="767" t="s">
        <v>799</v>
      </c>
      <c r="C142" s="621" t="s">
        <v>709</v>
      </c>
      <c r="D142" s="639" t="s">
        <v>469</v>
      </c>
      <c r="E142" s="639">
        <v>1</v>
      </c>
      <c r="F142" s="640">
        <v>305</v>
      </c>
      <c r="G142" s="641">
        <f t="shared" si="5"/>
        <v>305</v>
      </c>
      <c r="H142" s="636" t="s">
        <v>25</v>
      </c>
      <c r="I142" s="637" t="s">
        <v>25</v>
      </c>
      <c r="J142" s="638">
        <v>0</v>
      </c>
      <c r="K142" s="635" t="s">
        <v>25</v>
      </c>
      <c r="L142" s="637" t="s">
        <v>25</v>
      </c>
      <c r="M142" s="774">
        <v>0</v>
      </c>
      <c r="N142" s="543"/>
    </row>
    <row r="143" spans="2:14">
      <c r="B143" s="767" t="s">
        <v>800</v>
      </c>
      <c r="C143" s="621" t="s">
        <v>710</v>
      </c>
      <c r="D143" s="639" t="s">
        <v>469</v>
      </c>
      <c r="E143" s="639">
        <v>2</v>
      </c>
      <c r="F143" s="640">
        <v>49</v>
      </c>
      <c r="G143" s="641">
        <f t="shared" si="5"/>
        <v>98</v>
      </c>
      <c r="H143" s="636" t="s">
        <v>25</v>
      </c>
      <c r="I143" s="637" t="s">
        <v>25</v>
      </c>
      <c r="J143" s="638">
        <v>0</v>
      </c>
      <c r="K143" s="635" t="s">
        <v>25</v>
      </c>
      <c r="L143" s="637" t="s">
        <v>25</v>
      </c>
      <c r="M143" s="774">
        <v>0</v>
      </c>
      <c r="N143" s="543"/>
    </row>
    <row r="144" spans="2:14">
      <c r="B144" s="767" t="s">
        <v>801</v>
      </c>
      <c r="C144" s="621" t="s">
        <v>711</v>
      </c>
      <c r="D144" s="639" t="s">
        <v>733</v>
      </c>
      <c r="E144" s="639">
        <v>27</v>
      </c>
      <c r="F144" s="640">
        <v>310</v>
      </c>
      <c r="G144" s="641">
        <f t="shared" si="5"/>
        <v>8370</v>
      </c>
      <c r="H144" s="636" t="s">
        <v>25</v>
      </c>
      <c r="I144" s="637" t="s">
        <v>25</v>
      </c>
      <c r="J144" s="638">
        <v>0</v>
      </c>
      <c r="K144" s="635" t="s">
        <v>25</v>
      </c>
      <c r="L144" s="637" t="s">
        <v>25</v>
      </c>
      <c r="M144" s="774">
        <v>0</v>
      </c>
      <c r="N144" s="543"/>
    </row>
    <row r="145" spans="2:14">
      <c r="B145" s="767" t="s">
        <v>802</v>
      </c>
      <c r="C145" s="621" t="s">
        <v>712</v>
      </c>
      <c r="D145" s="639" t="s">
        <v>734</v>
      </c>
      <c r="E145" s="639">
        <v>25</v>
      </c>
      <c r="F145" s="640">
        <v>30</v>
      </c>
      <c r="G145" s="641">
        <f t="shared" si="5"/>
        <v>750</v>
      </c>
      <c r="H145" s="636" t="s">
        <v>25</v>
      </c>
      <c r="I145" s="637" t="s">
        <v>25</v>
      </c>
      <c r="J145" s="638">
        <v>0</v>
      </c>
      <c r="K145" s="635" t="s">
        <v>25</v>
      </c>
      <c r="L145" s="637" t="s">
        <v>25</v>
      </c>
      <c r="M145" s="774">
        <v>0</v>
      </c>
      <c r="N145" s="543"/>
    </row>
    <row r="146" spans="2:14">
      <c r="B146" s="767" t="s">
        <v>803</v>
      </c>
      <c r="C146" s="621" t="s">
        <v>713</v>
      </c>
      <c r="D146" s="639" t="s">
        <v>733</v>
      </c>
      <c r="E146" s="639">
        <v>11</v>
      </c>
      <c r="F146" s="640">
        <v>900</v>
      </c>
      <c r="G146" s="641">
        <f t="shared" si="5"/>
        <v>9900</v>
      </c>
      <c r="H146" s="636" t="s">
        <v>25</v>
      </c>
      <c r="I146" s="637" t="s">
        <v>25</v>
      </c>
      <c r="J146" s="638">
        <v>0</v>
      </c>
      <c r="K146" s="635" t="s">
        <v>25</v>
      </c>
      <c r="L146" s="637" t="s">
        <v>25</v>
      </c>
      <c r="M146" s="774">
        <v>0</v>
      </c>
      <c r="N146" s="543"/>
    </row>
    <row r="147" spans="2:14">
      <c r="B147" s="767" t="s">
        <v>804</v>
      </c>
      <c r="C147" s="621" t="s">
        <v>714</v>
      </c>
      <c r="D147" s="639" t="s">
        <v>733</v>
      </c>
      <c r="E147" s="639">
        <v>2</v>
      </c>
      <c r="F147" s="640">
        <v>300</v>
      </c>
      <c r="G147" s="641">
        <f t="shared" si="5"/>
        <v>600</v>
      </c>
      <c r="H147" s="636" t="s">
        <v>25</v>
      </c>
      <c r="I147" s="637" t="s">
        <v>25</v>
      </c>
      <c r="J147" s="638">
        <v>0</v>
      </c>
      <c r="K147" s="635" t="s">
        <v>25</v>
      </c>
      <c r="L147" s="637" t="s">
        <v>25</v>
      </c>
      <c r="M147" s="774">
        <v>0</v>
      </c>
      <c r="N147" s="543"/>
    </row>
    <row r="148" spans="2:14">
      <c r="B148" s="767" t="s">
        <v>805</v>
      </c>
      <c r="C148" s="621" t="s">
        <v>715</v>
      </c>
      <c r="D148" s="639" t="s">
        <v>469</v>
      </c>
      <c r="E148" s="639">
        <v>25</v>
      </c>
      <c r="F148" s="640">
        <v>20</v>
      </c>
      <c r="G148" s="641">
        <f t="shared" si="5"/>
        <v>500</v>
      </c>
      <c r="H148" s="636" t="s">
        <v>25</v>
      </c>
      <c r="I148" s="637" t="s">
        <v>25</v>
      </c>
      <c r="J148" s="638">
        <v>0</v>
      </c>
      <c r="K148" s="635" t="s">
        <v>25</v>
      </c>
      <c r="L148" s="637" t="s">
        <v>25</v>
      </c>
      <c r="M148" s="774">
        <v>0</v>
      </c>
      <c r="N148" s="543"/>
    </row>
    <row r="149" spans="2:14">
      <c r="B149" s="767" t="s">
        <v>806</v>
      </c>
      <c r="C149" s="621" t="s">
        <v>716</v>
      </c>
      <c r="D149" s="639" t="s">
        <v>735</v>
      </c>
      <c r="E149" s="639">
        <v>8</v>
      </c>
      <c r="F149" s="640">
        <v>45</v>
      </c>
      <c r="G149" s="641">
        <f t="shared" si="5"/>
        <v>360</v>
      </c>
      <c r="H149" s="636" t="s">
        <v>25</v>
      </c>
      <c r="I149" s="637" t="s">
        <v>25</v>
      </c>
      <c r="J149" s="638">
        <v>0</v>
      </c>
      <c r="K149" s="635" t="s">
        <v>25</v>
      </c>
      <c r="L149" s="637" t="s">
        <v>25</v>
      </c>
      <c r="M149" s="774">
        <v>0</v>
      </c>
      <c r="N149" s="543"/>
    </row>
    <row r="150" spans="2:14">
      <c r="B150" s="767" t="s">
        <v>807</v>
      </c>
      <c r="C150" s="621" t="s">
        <v>717</v>
      </c>
      <c r="D150" s="639" t="s">
        <v>733</v>
      </c>
      <c r="E150" s="639">
        <v>3</v>
      </c>
      <c r="F150" s="640">
        <v>25</v>
      </c>
      <c r="G150" s="641">
        <f t="shared" si="5"/>
        <v>75</v>
      </c>
      <c r="H150" s="636" t="s">
        <v>25</v>
      </c>
      <c r="I150" s="637" t="s">
        <v>25</v>
      </c>
      <c r="J150" s="638">
        <v>0</v>
      </c>
      <c r="K150" s="635" t="s">
        <v>25</v>
      </c>
      <c r="L150" s="637" t="s">
        <v>25</v>
      </c>
      <c r="M150" s="774">
        <v>0</v>
      </c>
      <c r="N150" s="543"/>
    </row>
    <row r="151" spans="2:14">
      <c r="B151" s="767" t="s">
        <v>808</v>
      </c>
      <c r="C151" s="621" t="s">
        <v>718</v>
      </c>
      <c r="D151" s="639" t="s">
        <v>733</v>
      </c>
      <c r="E151" s="639">
        <v>1</v>
      </c>
      <c r="F151" s="640">
        <v>350</v>
      </c>
      <c r="G151" s="641">
        <f t="shared" si="5"/>
        <v>350</v>
      </c>
      <c r="H151" s="636" t="s">
        <v>25</v>
      </c>
      <c r="I151" s="637" t="s">
        <v>25</v>
      </c>
      <c r="J151" s="638">
        <v>0</v>
      </c>
      <c r="K151" s="635" t="s">
        <v>25</v>
      </c>
      <c r="L151" s="637" t="s">
        <v>25</v>
      </c>
      <c r="M151" s="774">
        <v>0</v>
      </c>
      <c r="N151" s="543"/>
    </row>
    <row r="152" spans="2:14">
      <c r="B152" s="767" t="s">
        <v>809</v>
      </c>
      <c r="C152" s="621" t="s">
        <v>719</v>
      </c>
      <c r="D152" s="639" t="s">
        <v>469</v>
      </c>
      <c r="E152" s="639">
        <v>3</v>
      </c>
      <c r="F152" s="640">
        <v>25</v>
      </c>
      <c r="G152" s="641">
        <f t="shared" si="5"/>
        <v>75</v>
      </c>
      <c r="H152" s="636" t="s">
        <v>25</v>
      </c>
      <c r="I152" s="637" t="s">
        <v>25</v>
      </c>
      <c r="J152" s="638">
        <v>0</v>
      </c>
      <c r="K152" s="635" t="s">
        <v>25</v>
      </c>
      <c r="L152" s="637" t="s">
        <v>25</v>
      </c>
      <c r="M152" s="774">
        <v>0</v>
      </c>
      <c r="N152" s="543"/>
    </row>
    <row r="153" spans="2:14">
      <c r="B153" s="767" t="s">
        <v>810</v>
      </c>
      <c r="C153" s="621" t="s">
        <v>720</v>
      </c>
      <c r="D153" s="639" t="s">
        <v>469</v>
      </c>
      <c r="E153" s="639">
        <v>2</v>
      </c>
      <c r="F153" s="640">
        <v>50</v>
      </c>
      <c r="G153" s="641">
        <f t="shared" si="5"/>
        <v>100</v>
      </c>
      <c r="H153" s="636" t="s">
        <v>25</v>
      </c>
      <c r="I153" s="637" t="s">
        <v>25</v>
      </c>
      <c r="J153" s="638">
        <v>0</v>
      </c>
      <c r="K153" s="635" t="s">
        <v>25</v>
      </c>
      <c r="L153" s="637" t="s">
        <v>25</v>
      </c>
      <c r="M153" s="774">
        <v>0</v>
      </c>
      <c r="N153" s="543"/>
    </row>
    <row r="154" spans="2:14">
      <c r="B154" s="767" t="s">
        <v>811</v>
      </c>
      <c r="C154" s="621" t="s">
        <v>721</v>
      </c>
      <c r="D154" s="639" t="s">
        <v>733</v>
      </c>
      <c r="E154" s="639">
        <v>12</v>
      </c>
      <c r="F154" s="640">
        <v>270</v>
      </c>
      <c r="G154" s="641">
        <f t="shared" si="5"/>
        <v>3240</v>
      </c>
      <c r="H154" s="636" t="s">
        <v>25</v>
      </c>
      <c r="I154" s="637" t="s">
        <v>25</v>
      </c>
      <c r="J154" s="638">
        <v>0</v>
      </c>
      <c r="K154" s="635" t="s">
        <v>25</v>
      </c>
      <c r="L154" s="637" t="s">
        <v>25</v>
      </c>
      <c r="M154" s="774">
        <v>0</v>
      </c>
      <c r="N154" s="543"/>
    </row>
    <row r="155" spans="2:14">
      <c r="B155" s="767" t="s">
        <v>812</v>
      </c>
      <c r="C155" s="621" t="s">
        <v>722</v>
      </c>
      <c r="D155" s="639" t="s">
        <v>733</v>
      </c>
      <c r="E155" s="639">
        <v>1</v>
      </c>
      <c r="F155" s="640">
        <v>65.03</v>
      </c>
      <c r="G155" s="641">
        <f t="shared" si="5"/>
        <v>65.03</v>
      </c>
      <c r="H155" s="636" t="s">
        <v>25</v>
      </c>
      <c r="I155" s="637" t="s">
        <v>25</v>
      </c>
      <c r="J155" s="638">
        <v>0</v>
      </c>
      <c r="K155" s="635" t="s">
        <v>25</v>
      </c>
      <c r="L155" s="637" t="s">
        <v>25</v>
      </c>
      <c r="M155" s="774">
        <v>0</v>
      </c>
      <c r="N155" s="543"/>
    </row>
    <row r="156" spans="2:14">
      <c r="B156" s="767" t="s">
        <v>813</v>
      </c>
      <c r="C156" s="621" t="s">
        <v>723</v>
      </c>
      <c r="D156" s="639" t="s">
        <v>733</v>
      </c>
      <c r="E156" s="639">
        <v>9</v>
      </c>
      <c r="F156" s="640">
        <v>400</v>
      </c>
      <c r="G156" s="641">
        <f t="shared" si="5"/>
        <v>3600</v>
      </c>
      <c r="H156" s="636" t="s">
        <v>25</v>
      </c>
      <c r="I156" s="637" t="s">
        <v>25</v>
      </c>
      <c r="J156" s="638">
        <v>0</v>
      </c>
      <c r="K156" s="635" t="s">
        <v>25</v>
      </c>
      <c r="L156" s="637" t="s">
        <v>25</v>
      </c>
      <c r="M156" s="774">
        <v>0</v>
      </c>
      <c r="N156" s="543"/>
    </row>
    <row r="157" spans="2:14">
      <c r="B157" s="767" t="s">
        <v>814</v>
      </c>
      <c r="C157" s="621" t="s">
        <v>724</v>
      </c>
      <c r="D157" s="639" t="s">
        <v>469</v>
      </c>
      <c r="E157" s="639">
        <v>1</v>
      </c>
      <c r="F157" s="640">
        <v>700</v>
      </c>
      <c r="G157" s="641">
        <f t="shared" si="5"/>
        <v>700</v>
      </c>
      <c r="H157" s="636" t="s">
        <v>25</v>
      </c>
      <c r="I157" s="637" t="s">
        <v>25</v>
      </c>
      <c r="J157" s="638">
        <v>0</v>
      </c>
      <c r="K157" s="635" t="s">
        <v>25</v>
      </c>
      <c r="L157" s="637" t="s">
        <v>25</v>
      </c>
      <c r="M157" s="774">
        <v>0</v>
      </c>
      <c r="N157" s="543"/>
    </row>
    <row r="158" spans="2:14">
      <c r="B158" s="767" t="s">
        <v>815</v>
      </c>
      <c r="C158" s="621" t="s">
        <v>725</v>
      </c>
      <c r="D158" s="639" t="s">
        <v>456</v>
      </c>
      <c r="E158" s="639">
        <v>1</v>
      </c>
      <c r="F158" s="640">
        <v>3375</v>
      </c>
      <c r="G158" s="641">
        <f t="shared" si="5"/>
        <v>3375</v>
      </c>
      <c r="H158" s="636" t="s">
        <v>25</v>
      </c>
      <c r="I158" s="637" t="s">
        <v>25</v>
      </c>
      <c r="J158" s="638">
        <v>0</v>
      </c>
      <c r="K158" s="635" t="s">
        <v>25</v>
      </c>
      <c r="L158" s="637" t="s">
        <v>25</v>
      </c>
      <c r="M158" s="774">
        <v>0</v>
      </c>
      <c r="N158" s="543"/>
    </row>
    <row r="159" spans="2:14">
      <c r="B159" s="767" t="s">
        <v>816</v>
      </c>
      <c r="C159" s="621" t="s">
        <v>726</v>
      </c>
      <c r="D159" s="639" t="s">
        <v>469</v>
      </c>
      <c r="E159" s="639">
        <v>4</v>
      </c>
      <c r="F159" s="640">
        <v>690</v>
      </c>
      <c r="G159" s="641">
        <f t="shared" si="5"/>
        <v>2760</v>
      </c>
      <c r="H159" s="636" t="s">
        <v>25</v>
      </c>
      <c r="I159" s="637" t="s">
        <v>25</v>
      </c>
      <c r="J159" s="638">
        <v>0</v>
      </c>
      <c r="K159" s="635" t="s">
        <v>25</v>
      </c>
      <c r="L159" s="637" t="s">
        <v>25</v>
      </c>
      <c r="M159" s="774">
        <v>0</v>
      </c>
      <c r="N159" s="543"/>
    </row>
    <row r="160" spans="2:14">
      <c r="B160" s="767" t="s">
        <v>817</v>
      </c>
      <c r="C160" s="621" t="s">
        <v>727</v>
      </c>
      <c r="D160" s="639" t="s">
        <v>469</v>
      </c>
      <c r="E160" s="639">
        <v>12</v>
      </c>
      <c r="F160" s="640">
        <v>17</v>
      </c>
      <c r="G160" s="641">
        <f t="shared" si="5"/>
        <v>204</v>
      </c>
      <c r="H160" s="636" t="s">
        <v>25</v>
      </c>
      <c r="I160" s="637" t="s">
        <v>25</v>
      </c>
      <c r="J160" s="638">
        <v>0</v>
      </c>
      <c r="K160" s="635" t="s">
        <v>25</v>
      </c>
      <c r="L160" s="637" t="s">
        <v>25</v>
      </c>
      <c r="M160" s="774">
        <v>0</v>
      </c>
      <c r="N160" s="543"/>
    </row>
    <row r="161" spans="2:14" ht="25.5">
      <c r="B161" s="767" t="s">
        <v>818</v>
      </c>
      <c r="C161" s="621" t="s">
        <v>728</v>
      </c>
      <c r="D161" s="639" t="s">
        <v>469</v>
      </c>
      <c r="E161" s="639">
        <v>50</v>
      </c>
      <c r="F161" s="640">
        <v>84</v>
      </c>
      <c r="G161" s="641">
        <f t="shared" si="5"/>
        <v>4200</v>
      </c>
      <c r="H161" s="636" t="s">
        <v>25</v>
      </c>
      <c r="I161" s="637" t="s">
        <v>25</v>
      </c>
      <c r="J161" s="638">
        <v>0</v>
      </c>
      <c r="K161" s="635" t="s">
        <v>25</v>
      </c>
      <c r="L161" s="637" t="s">
        <v>25</v>
      </c>
      <c r="M161" s="774">
        <v>0</v>
      </c>
      <c r="N161" s="543"/>
    </row>
    <row r="162" spans="2:14" ht="26.25" thickBot="1">
      <c r="B162" s="769" t="s">
        <v>819</v>
      </c>
      <c r="C162" s="662" t="s">
        <v>729</v>
      </c>
      <c r="D162" s="663" t="s">
        <v>469</v>
      </c>
      <c r="E162" s="663">
        <v>50</v>
      </c>
      <c r="F162" s="664">
        <v>40</v>
      </c>
      <c r="G162" s="665">
        <f>E162*F162</f>
        <v>2000</v>
      </c>
      <c r="H162" s="695" t="s">
        <v>25</v>
      </c>
      <c r="I162" s="696" t="s">
        <v>25</v>
      </c>
      <c r="J162" s="697">
        <v>0</v>
      </c>
      <c r="K162" s="698" t="s">
        <v>25</v>
      </c>
      <c r="L162" s="696" t="s">
        <v>25</v>
      </c>
      <c r="M162" s="775">
        <v>0</v>
      </c>
      <c r="N162" s="543"/>
    </row>
    <row r="163" spans="2:14" ht="39" thickBot="1">
      <c r="B163" s="653" t="s">
        <v>820</v>
      </c>
      <c r="C163" s="654" t="s">
        <v>851</v>
      </c>
      <c r="D163" s="655" t="s">
        <v>25</v>
      </c>
      <c r="E163" s="655" t="s">
        <v>25</v>
      </c>
      <c r="F163" s="656" t="s">
        <v>25</v>
      </c>
      <c r="G163" s="657">
        <f>SUM(G164:H191)</f>
        <v>49840.22</v>
      </c>
      <c r="H163" s="658" t="s">
        <v>25</v>
      </c>
      <c r="I163" s="659" t="s">
        <v>25</v>
      </c>
      <c r="J163" s="660">
        <v>0</v>
      </c>
      <c r="K163" s="655" t="s">
        <v>25</v>
      </c>
      <c r="L163" s="659" t="s">
        <v>25</v>
      </c>
      <c r="M163" s="661">
        <v>0</v>
      </c>
      <c r="N163" s="543"/>
    </row>
    <row r="164" spans="2:14">
      <c r="B164" s="765" t="s">
        <v>821</v>
      </c>
      <c r="C164" s="646" t="s">
        <v>736</v>
      </c>
      <c r="D164" s="647" t="s">
        <v>469</v>
      </c>
      <c r="E164" s="647">
        <v>1</v>
      </c>
      <c r="F164" s="648">
        <v>380</v>
      </c>
      <c r="G164" s="649">
        <f t="shared" si="5"/>
        <v>380</v>
      </c>
      <c r="H164" s="674" t="s">
        <v>25</v>
      </c>
      <c r="I164" s="675" t="s">
        <v>25</v>
      </c>
      <c r="J164" s="676">
        <v>0</v>
      </c>
      <c r="K164" s="677" t="s">
        <v>25</v>
      </c>
      <c r="L164" s="675" t="s">
        <v>25</v>
      </c>
      <c r="M164" s="773">
        <v>0</v>
      </c>
      <c r="N164" s="543"/>
    </row>
    <row r="165" spans="2:14">
      <c r="B165" s="767" t="s">
        <v>822</v>
      </c>
      <c r="C165" s="621" t="s">
        <v>737</v>
      </c>
      <c r="D165" s="639" t="s">
        <v>469</v>
      </c>
      <c r="E165" s="639">
        <v>1</v>
      </c>
      <c r="F165" s="640">
        <v>2500</v>
      </c>
      <c r="G165" s="641">
        <f t="shared" si="5"/>
        <v>2500</v>
      </c>
      <c r="H165" s="636" t="s">
        <v>25</v>
      </c>
      <c r="I165" s="637" t="s">
        <v>25</v>
      </c>
      <c r="J165" s="638">
        <v>0</v>
      </c>
      <c r="K165" s="635" t="s">
        <v>25</v>
      </c>
      <c r="L165" s="637" t="s">
        <v>25</v>
      </c>
      <c r="M165" s="774">
        <v>0</v>
      </c>
      <c r="N165" s="543"/>
    </row>
    <row r="166" spans="2:14" ht="25.5">
      <c r="B166" s="767" t="s">
        <v>823</v>
      </c>
      <c r="C166" s="621" t="s">
        <v>738</v>
      </c>
      <c r="D166" s="639" t="s">
        <v>469</v>
      </c>
      <c r="E166" s="639">
        <v>2</v>
      </c>
      <c r="F166" s="640">
        <v>250</v>
      </c>
      <c r="G166" s="641">
        <f t="shared" si="5"/>
        <v>500</v>
      </c>
      <c r="H166" s="636" t="s">
        <v>25</v>
      </c>
      <c r="I166" s="637" t="s">
        <v>25</v>
      </c>
      <c r="J166" s="638">
        <v>0</v>
      </c>
      <c r="K166" s="635" t="s">
        <v>25</v>
      </c>
      <c r="L166" s="637" t="s">
        <v>25</v>
      </c>
      <c r="M166" s="774">
        <v>0</v>
      </c>
      <c r="N166" s="543"/>
    </row>
    <row r="167" spans="2:14" ht="25.5">
      <c r="B167" s="767" t="s">
        <v>825</v>
      </c>
      <c r="C167" s="621" t="s">
        <v>739</v>
      </c>
      <c r="D167" s="639" t="s">
        <v>469</v>
      </c>
      <c r="E167" s="639">
        <v>1</v>
      </c>
      <c r="F167" s="640">
        <v>250</v>
      </c>
      <c r="G167" s="641">
        <f t="shared" si="5"/>
        <v>250</v>
      </c>
      <c r="H167" s="636" t="s">
        <v>25</v>
      </c>
      <c r="I167" s="637" t="s">
        <v>25</v>
      </c>
      <c r="J167" s="638">
        <v>0</v>
      </c>
      <c r="K167" s="635" t="s">
        <v>25</v>
      </c>
      <c r="L167" s="637" t="s">
        <v>25</v>
      </c>
      <c r="M167" s="774">
        <v>0</v>
      </c>
      <c r="N167" s="543"/>
    </row>
    <row r="168" spans="2:14" ht="25.5">
      <c r="B168" s="767" t="s">
        <v>826</v>
      </c>
      <c r="C168" s="621" t="s">
        <v>740</v>
      </c>
      <c r="D168" s="639" t="s">
        <v>469</v>
      </c>
      <c r="E168" s="639">
        <v>2</v>
      </c>
      <c r="F168" s="640">
        <v>250</v>
      </c>
      <c r="G168" s="641">
        <f t="shared" si="5"/>
        <v>500</v>
      </c>
      <c r="H168" s="636" t="s">
        <v>25</v>
      </c>
      <c r="I168" s="637" t="s">
        <v>25</v>
      </c>
      <c r="J168" s="638">
        <v>0</v>
      </c>
      <c r="K168" s="635" t="s">
        <v>25</v>
      </c>
      <c r="L168" s="637" t="s">
        <v>25</v>
      </c>
      <c r="M168" s="774">
        <v>0</v>
      </c>
      <c r="N168" s="543"/>
    </row>
    <row r="169" spans="2:14" ht="25.5">
      <c r="B169" s="767" t="s">
        <v>827</v>
      </c>
      <c r="C169" s="621" t="s">
        <v>741</v>
      </c>
      <c r="D169" s="639" t="s">
        <v>469</v>
      </c>
      <c r="E169" s="639">
        <v>1</v>
      </c>
      <c r="F169" s="640">
        <v>250</v>
      </c>
      <c r="G169" s="641">
        <f t="shared" si="5"/>
        <v>250</v>
      </c>
      <c r="H169" s="636" t="s">
        <v>25</v>
      </c>
      <c r="I169" s="637" t="s">
        <v>25</v>
      </c>
      <c r="J169" s="638">
        <v>0</v>
      </c>
      <c r="K169" s="635" t="s">
        <v>25</v>
      </c>
      <c r="L169" s="637" t="s">
        <v>25</v>
      </c>
      <c r="M169" s="774">
        <v>0</v>
      </c>
      <c r="N169" s="543"/>
    </row>
    <row r="170" spans="2:14" ht="25.5">
      <c r="B170" s="767" t="s">
        <v>828</v>
      </c>
      <c r="C170" s="621" t="s">
        <v>742</v>
      </c>
      <c r="D170" s="639" t="s">
        <v>469</v>
      </c>
      <c r="E170" s="639">
        <v>1</v>
      </c>
      <c r="F170" s="640">
        <v>250</v>
      </c>
      <c r="G170" s="641">
        <f t="shared" si="5"/>
        <v>250</v>
      </c>
      <c r="H170" s="636" t="s">
        <v>25</v>
      </c>
      <c r="I170" s="637" t="s">
        <v>25</v>
      </c>
      <c r="J170" s="638">
        <v>0</v>
      </c>
      <c r="K170" s="635" t="s">
        <v>25</v>
      </c>
      <c r="L170" s="637" t="s">
        <v>25</v>
      </c>
      <c r="M170" s="774">
        <v>0</v>
      </c>
      <c r="N170" s="543"/>
    </row>
    <row r="171" spans="2:14" ht="25.5">
      <c r="B171" s="767" t="s">
        <v>829</v>
      </c>
      <c r="C171" s="621" t="s">
        <v>743</v>
      </c>
      <c r="D171" s="639" t="s">
        <v>469</v>
      </c>
      <c r="E171" s="639">
        <v>1</v>
      </c>
      <c r="F171" s="640">
        <v>400</v>
      </c>
      <c r="G171" s="641">
        <f t="shared" si="5"/>
        <v>400</v>
      </c>
      <c r="H171" s="636" t="s">
        <v>25</v>
      </c>
      <c r="I171" s="637" t="s">
        <v>25</v>
      </c>
      <c r="J171" s="638">
        <v>0</v>
      </c>
      <c r="K171" s="635" t="s">
        <v>25</v>
      </c>
      <c r="L171" s="637" t="s">
        <v>25</v>
      </c>
      <c r="M171" s="774">
        <v>0</v>
      </c>
      <c r="N171" s="543"/>
    </row>
    <row r="172" spans="2:14">
      <c r="B172" s="767" t="s">
        <v>830</v>
      </c>
      <c r="C172" s="621" t="s">
        <v>744</v>
      </c>
      <c r="D172" s="639" t="s">
        <v>469</v>
      </c>
      <c r="E172" s="639">
        <v>1</v>
      </c>
      <c r="F172" s="640">
        <v>230</v>
      </c>
      <c r="G172" s="641">
        <f t="shared" si="5"/>
        <v>230</v>
      </c>
      <c r="H172" s="636" t="s">
        <v>25</v>
      </c>
      <c r="I172" s="637" t="s">
        <v>25</v>
      </c>
      <c r="J172" s="638">
        <v>0</v>
      </c>
      <c r="K172" s="635" t="s">
        <v>25</v>
      </c>
      <c r="L172" s="637" t="s">
        <v>25</v>
      </c>
      <c r="M172" s="774">
        <v>0</v>
      </c>
      <c r="N172" s="543"/>
    </row>
    <row r="173" spans="2:14">
      <c r="B173" s="767" t="s">
        <v>831</v>
      </c>
      <c r="C173" s="621" t="s">
        <v>745</v>
      </c>
      <c r="D173" s="639" t="s">
        <v>469</v>
      </c>
      <c r="E173" s="639">
        <v>1</v>
      </c>
      <c r="F173" s="640">
        <v>3200</v>
      </c>
      <c r="G173" s="641">
        <f t="shared" si="5"/>
        <v>3200</v>
      </c>
      <c r="H173" s="636" t="s">
        <v>25</v>
      </c>
      <c r="I173" s="637" t="s">
        <v>25</v>
      </c>
      <c r="J173" s="638">
        <v>0</v>
      </c>
      <c r="K173" s="635" t="s">
        <v>25</v>
      </c>
      <c r="L173" s="637" t="s">
        <v>25</v>
      </c>
      <c r="M173" s="774">
        <v>0</v>
      </c>
      <c r="N173" s="543"/>
    </row>
    <row r="174" spans="2:14" ht="25.5">
      <c r="B174" s="767" t="s">
        <v>832</v>
      </c>
      <c r="C174" s="621" t="s">
        <v>746</v>
      </c>
      <c r="D174" s="639" t="s">
        <v>469</v>
      </c>
      <c r="E174" s="639">
        <v>6</v>
      </c>
      <c r="F174" s="640">
        <v>85</v>
      </c>
      <c r="G174" s="641">
        <v>509.98</v>
      </c>
      <c r="H174" s="636" t="s">
        <v>25</v>
      </c>
      <c r="I174" s="637" t="s">
        <v>25</v>
      </c>
      <c r="J174" s="638">
        <v>0</v>
      </c>
      <c r="K174" s="635" t="s">
        <v>25</v>
      </c>
      <c r="L174" s="637" t="s">
        <v>25</v>
      </c>
      <c r="M174" s="774">
        <v>0</v>
      </c>
      <c r="N174" s="543"/>
    </row>
    <row r="175" spans="2:14">
      <c r="B175" s="767" t="s">
        <v>833</v>
      </c>
      <c r="C175" s="621" t="s">
        <v>747</v>
      </c>
      <c r="D175" s="639" t="s">
        <v>469</v>
      </c>
      <c r="E175" s="639">
        <v>60</v>
      </c>
      <c r="F175" s="640">
        <v>50</v>
      </c>
      <c r="G175" s="641">
        <v>3000.24</v>
      </c>
      <c r="H175" s="636" t="s">
        <v>25</v>
      </c>
      <c r="I175" s="637" t="s">
        <v>25</v>
      </c>
      <c r="J175" s="638">
        <v>0</v>
      </c>
      <c r="K175" s="635" t="s">
        <v>25</v>
      </c>
      <c r="L175" s="637" t="s">
        <v>25</v>
      </c>
      <c r="M175" s="774">
        <v>0</v>
      </c>
      <c r="N175" s="543"/>
    </row>
    <row r="176" spans="2:14" ht="38.25">
      <c r="B176" s="767" t="s">
        <v>834</v>
      </c>
      <c r="C176" s="621" t="s">
        <v>748</v>
      </c>
      <c r="D176" s="639" t="s">
        <v>733</v>
      </c>
      <c r="E176" s="639">
        <v>19</v>
      </c>
      <c r="F176" s="640">
        <v>350</v>
      </c>
      <c r="G176" s="641">
        <f t="shared" si="5"/>
        <v>6650</v>
      </c>
      <c r="H176" s="636" t="s">
        <v>25</v>
      </c>
      <c r="I176" s="637" t="s">
        <v>25</v>
      </c>
      <c r="J176" s="638">
        <v>0</v>
      </c>
      <c r="K176" s="635" t="s">
        <v>25</v>
      </c>
      <c r="L176" s="637" t="s">
        <v>25</v>
      </c>
      <c r="M176" s="774">
        <v>0</v>
      </c>
      <c r="N176" s="543"/>
    </row>
    <row r="177" spans="2:14" ht="38.25">
      <c r="B177" s="767" t="s">
        <v>835</v>
      </c>
      <c r="C177" s="621" t="s">
        <v>749</v>
      </c>
      <c r="D177" s="639" t="s">
        <v>733</v>
      </c>
      <c r="E177" s="639">
        <v>2</v>
      </c>
      <c r="F177" s="640">
        <v>600</v>
      </c>
      <c r="G177" s="641">
        <f t="shared" si="5"/>
        <v>1200</v>
      </c>
      <c r="H177" s="636" t="s">
        <v>25</v>
      </c>
      <c r="I177" s="637" t="s">
        <v>25</v>
      </c>
      <c r="J177" s="638">
        <v>0</v>
      </c>
      <c r="K177" s="635" t="s">
        <v>25</v>
      </c>
      <c r="L177" s="637" t="s">
        <v>25</v>
      </c>
      <c r="M177" s="774">
        <v>0</v>
      </c>
      <c r="N177" s="543"/>
    </row>
    <row r="178" spans="2:14" ht="38.25">
      <c r="B178" s="767" t="s">
        <v>836</v>
      </c>
      <c r="C178" s="621" t="s">
        <v>750</v>
      </c>
      <c r="D178" s="639" t="s">
        <v>733</v>
      </c>
      <c r="E178" s="639">
        <v>0.2</v>
      </c>
      <c r="F178" s="640">
        <v>1000</v>
      </c>
      <c r="G178" s="641">
        <f t="shared" si="5"/>
        <v>200</v>
      </c>
      <c r="H178" s="636" t="s">
        <v>25</v>
      </c>
      <c r="I178" s="637" t="s">
        <v>25</v>
      </c>
      <c r="J178" s="638">
        <v>0</v>
      </c>
      <c r="K178" s="635" t="s">
        <v>25</v>
      </c>
      <c r="L178" s="637" t="s">
        <v>25</v>
      </c>
      <c r="M178" s="774">
        <v>0</v>
      </c>
      <c r="N178" s="543"/>
    </row>
    <row r="179" spans="2:14" ht="25.5">
      <c r="B179" s="767" t="s">
        <v>837</v>
      </c>
      <c r="C179" s="621" t="s">
        <v>751</v>
      </c>
      <c r="D179" s="639" t="s">
        <v>733</v>
      </c>
      <c r="E179" s="639">
        <v>9</v>
      </c>
      <c r="F179" s="640">
        <v>380</v>
      </c>
      <c r="G179" s="641">
        <f t="shared" si="5"/>
        <v>3420</v>
      </c>
      <c r="H179" s="636" t="s">
        <v>25</v>
      </c>
      <c r="I179" s="637" t="s">
        <v>25</v>
      </c>
      <c r="J179" s="638">
        <v>0</v>
      </c>
      <c r="K179" s="635" t="s">
        <v>25</v>
      </c>
      <c r="L179" s="637" t="s">
        <v>25</v>
      </c>
      <c r="M179" s="774">
        <v>0</v>
      </c>
      <c r="N179" s="543"/>
    </row>
    <row r="180" spans="2:14">
      <c r="B180" s="767" t="s">
        <v>838</v>
      </c>
      <c r="C180" s="621" t="s">
        <v>752</v>
      </c>
      <c r="D180" s="639" t="s">
        <v>469</v>
      </c>
      <c r="E180" s="639">
        <v>2</v>
      </c>
      <c r="F180" s="640">
        <v>150</v>
      </c>
      <c r="G180" s="641">
        <f t="shared" ref="G180:G191" si="6">E180*F180</f>
        <v>300</v>
      </c>
      <c r="H180" s="636" t="s">
        <v>25</v>
      </c>
      <c r="I180" s="637" t="s">
        <v>25</v>
      </c>
      <c r="J180" s="638">
        <v>0</v>
      </c>
      <c r="K180" s="635" t="s">
        <v>25</v>
      </c>
      <c r="L180" s="637" t="s">
        <v>25</v>
      </c>
      <c r="M180" s="774">
        <v>0</v>
      </c>
      <c r="N180" s="543"/>
    </row>
    <row r="181" spans="2:14" ht="38.25">
      <c r="B181" s="767" t="s">
        <v>839</v>
      </c>
      <c r="C181" s="621" t="s">
        <v>753</v>
      </c>
      <c r="D181" s="639" t="s">
        <v>733</v>
      </c>
      <c r="E181" s="639">
        <v>0.5</v>
      </c>
      <c r="F181" s="640">
        <v>800</v>
      </c>
      <c r="G181" s="641">
        <f t="shared" si="6"/>
        <v>400</v>
      </c>
      <c r="H181" s="636" t="s">
        <v>25</v>
      </c>
      <c r="I181" s="637" t="s">
        <v>25</v>
      </c>
      <c r="J181" s="638">
        <v>0</v>
      </c>
      <c r="K181" s="635" t="s">
        <v>25</v>
      </c>
      <c r="L181" s="637" t="s">
        <v>25</v>
      </c>
      <c r="M181" s="774">
        <v>0</v>
      </c>
      <c r="N181" s="543"/>
    </row>
    <row r="182" spans="2:14" ht="38.25">
      <c r="B182" s="767" t="s">
        <v>840</v>
      </c>
      <c r="C182" s="621" t="s">
        <v>754</v>
      </c>
      <c r="D182" s="639" t="s">
        <v>733</v>
      </c>
      <c r="E182" s="639">
        <v>5</v>
      </c>
      <c r="F182" s="640">
        <v>150</v>
      </c>
      <c r="G182" s="641">
        <f t="shared" si="6"/>
        <v>750</v>
      </c>
      <c r="H182" s="636" t="s">
        <v>25</v>
      </c>
      <c r="I182" s="637" t="s">
        <v>25</v>
      </c>
      <c r="J182" s="638">
        <v>0</v>
      </c>
      <c r="K182" s="635" t="s">
        <v>25</v>
      </c>
      <c r="L182" s="637" t="s">
        <v>25</v>
      </c>
      <c r="M182" s="774">
        <v>0</v>
      </c>
      <c r="N182" s="543"/>
    </row>
    <row r="183" spans="2:14" ht="38.25">
      <c r="B183" s="767" t="s">
        <v>841</v>
      </c>
      <c r="C183" s="621" t="s">
        <v>755</v>
      </c>
      <c r="D183" s="639" t="s">
        <v>733</v>
      </c>
      <c r="E183" s="639">
        <v>8</v>
      </c>
      <c r="F183" s="640">
        <v>580</v>
      </c>
      <c r="G183" s="641">
        <f t="shared" si="6"/>
        <v>4640</v>
      </c>
      <c r="H183" s="636" t="s">
        <v>25</v>
      </c>
      <c r="I183" s="637" t="s">
        <v>25</v>
      </c>
      <c r="J183" s="638">
        <v>0</v>
      </c>
      <c r="K183" s="635" t="s">
        <v>25</v>
      </c>
      <c r="L183" s="637" t="s">
        <v>25</v>
      </c>
      <c r="M183" s="774">
        <v>0</v>
      </c>
      <c r="N183" s="543"/>
    </row>
    <row r="184" spans="2:14" ht="38.25">
      <c r="B184" s="767" t="s">
        <v>842</v>
      </c>
      <c r="C184" s="621" t="s">
        <v>756</v>
      </c>
      <c r="D184" s="639" t="s">
        <v>733</v>
      </c>
      <c r="E184" s="639">
        <v>1.8</v>
      </c>
      <c r="F184" s="640">
        <v>850</v>
      </c>
      <c r="G184" s="641">
        <f t="shared" si="6"/>
        <v>1530</v>
      </c>
      <c r="H184" s="636" t="s">
        <v>25</v>
      </c>
      <c r="I184" s="637" t="s">
        <v>25</v>
      </c>
      <c r="J184" s="638">
        <v>0</v>
      </c>
      <c r="K184" s="635" t="s">
        <v>25</v>
      </c>
      <c r="L184" s="637" t="s">
        <v>25</v>
      </c>
      <c r="M184" s="774">
        <v>0</v>
      </c>
      <c r="N184" s="543"/>
    </row>
    <row r="185" spans="2:14">
      <c r="B185" s="767" t="s">
        <v>843</v>
      </c>
      <c r="C185" s="621" t="s">
        <v>757</v>
      </c>
      <c r="D185" s="639" t="s">
        <v>469</v>
      </c>
      <c r="E185" s="639">
        <v>10</v>
      </c>
      <c r="F185" s="640">
        <v>50</v>
      </c>
      <c r="G185" s="641">
        <f t="shared" si="6"/>
        <v>500</v>
      </c>
      <c r="H185" s="636" t="s">
        <v>25</v>
      </c>
      <c r="I185" s="637" t="s">
        <v>25</v>
      </c>
      <c r="J185" s="638">
        <v>0</v>
      </c>
      <c r="K185" s="635" t="s">
        <v>25</v>
      </c>
      <c r="L185" s="637" t="s">
        <v>25</v>
      </c>
      <c r="M185" s="774">
        <v>0</v>
      </c>
      <c r="N185" s="543"/>
    </row>
    <row r="186" spans="2:14">
      <c r="B186" s="767" t="s">
        <v>844</v>
      </c>
      <c r="C186" s="621" t="s">
        <v>758</v>
      </c>
      <c r="D186" s="639" t="s">
        <v>469</v>
      </c>
      <c r="E186" s="639">
        <v>6</v>
      </c>
      <c r="F186" s="640">
        <v>30</v>
      </c>
      <c r="G186" s="641">
        <f t="shared" si="6"/>
        <v>180</v>
      </c>
      <c r="H186" s="636" t="s">
        <v>25</v>
      </c>
      <c r="I186" s="637" t="s">
        <v>25</v>
      </c>
      <c r="J186" s="638">
        <v>0</v>
      </c>
      <c r="K186" s="635" t="s">
        <v>25</v>
      </c>
      <c r="L186" s="637" t="s">
        <v>25</v>
      </c>
      <c r="M186" s="774">
        <v>0</v>
      </c>
      <c r="N186" s="543"/>
    </row>
    <row r="187" spans="2:14" ht="38.25">
      <c r="B187" s="767" t="s">
        <v>845</v>
      </c>
      <c r="C187" s="621" t="s">
        <v>759</v>
      </c>
      <c r="D187" s="639" t="s">
        <v>469</v>
      </c>
      <c r="E187" s="639">
        <v>2</v>
      </c>
      <c r="F187" s="640">
        <v>750</v>
      </c>
      <c r="G187" s="641">
        <f t="shared" si="6"/>
        <v>1500</v>
      </c>
      <c r="H187" s="636" t="s">
        <v>25</v>
      </c>
      <c r="I187" s="637" t="s">
        <v>25</v>
      </c>
      <c r="J187" s="638">
        <v>0</v>
      </c>
      <c r="K187" s="635" t="s">
        <v>25</v>
      </c>
      <c r="L187" s="637" t="s">
        <v>25</v>
      </c>
      <c r="M187" s="774">
        <v>0</v>
      </c>
      <c r="N187" s="543"/>
    </row>
    <row r="188" spans="2:14" ht="38.25">
      <c r="B188" s="767" t="s">
        <v>846</v>
      </c>
      <c r="C188" s="621" t="s">
        <v>760</v>
      </c>
      <c r="D188" s="639" t="s">
        <v>733</v>
      </c>
      <c r="E188" s="639">
        <v>0.5</v>
      </c>
      <c r="F188" s="640">
        <v>900</v>
      </c>
      <c r="G188" s="641">
        <f t="shared" si="6"/>
        <v>450</v>
      </c>
      <c r="H188" s="636" t="s">
        <v>25</v>
      </c>
      <c r="I188" s="637" t="s">
        <v>25</v>
      </c>
      <c r="J188" s="638">
        <v>0</v>
      </c>
      <c r="K188" s="635" t="s">
        <v>25</v>
      </c>
      <c r="L188" s="637" t="s">
        <v>25</v>
      </c>
      <c r="M188" s="774">
        <v>0</v>
      </c>
      <c r="N188" s="543"/>
    </row>
    <row r="189" spans="2:14" ht="38.25">
      <c r="B189" s="767" t="s">
        <v>847</v>
      </c>
      <c r="C189" s="621" t="s">
        <v>761</v>
      </c>
      <c r="D189" s="639" t="s">
        <v>733</v>
      </c>
      <c r="E189" s="639">
        <v>1.5</v>
      </c>
      <c r="F189" s="640">
        <v>1700</v>
      </c>
      <c r="G189" s="641">
        <f t="shared" si="6"/>
        <v>2550</v>
      </c>
      <c r="H189" s="636" t="s">
        <v>25</v>
      </c>
      <c r="I189" s="637" t="s">
        <v>25</v>
      </c>
      <c r="J189" s="638">
        <v>0</v>
      </c>
      <c r="K189" s="635" t="s">
        <v>25</v>
      </c>
      <c r="L189" s="637" t="s">
        <v>25</v>
      </c>
      <c r="M189" s="774">
        <v>0</v>
      </c>
      <c r="N189" s="543"/>
    </row>
    <row r="190" spans="2:14" ht="25.5">
      <c r="B190" s="767" t="s">
        <v>848</v>
      </c>
      <c r="C190" s="621" t="s">
        <v>762</v>
      </c>
      <c r="D190" s="639" t="s">
        <v>469</v>
      </c>
      <c r="E190" s="639">
        <v>160</v>
      </c>
      <c r="F190" s="640">
        <v>60</v>
      </c>
      <c r="G190" s="641">
        <f t="shared" si="6"/>
        <v>9600</v>
      </c>
      <c r="H190" s="636" t="s">
        <v>25</v>
      </c>
      <c r="I190" s="637" t="s">
        <v>25</v>
      </c>
      <c r="J190" s="638">
        <v>0</v>
      </c>
      <c r="K190" s="635" t="s">
        <v>25</v>
      </c>
      <c r="L190" s="637" t="s">
        <v>25</v>
      </c>
      <c r="M190" s="774">
        <v>0</v>
      </c>
      <c r="N190" s="543"/>
    </row>
    <row r="191" spans="2:14" ht="26.25" thickBot="1">
      <c r="B191" s="769" t="s">
        <v>849</v>
      </c>
      <c r="C191" s="662" t="s">
        <v>763</v>
      </c>
      <c r="D191" s="663" t="s">
        <v>469</v>
      </c>
      <c r="E191" s="663">
        <v>200</v>
      </c>
      <c r="F191" s="664">
        <v>20</v>
      </c>
      <c r="G191" s="665">
        <f t="shared" si="6"/>
        <v>4000</v>
      </c>
      <c r="H191" s="695" t="s">
        <v>25</v>
      </c>
      <c r="I191" s="696" t="s">
        <v>25</v>
      </c>
      <c r="J191" s="697">
        <v>0</v>
      </c>
      <c r="K191" s="698" t="s">
        <v>25</v>
      </c>
      <c r="L191" s="696" t="s">
        <v>25</v>
      </c>
      <c r="M191" s="775">
        <v>0</v>
      </c>
      <c r="N191" s="543"/>
    </row>
    <row r="192" spans="2:14" ht="26.25" thickBot="1">
      <c r="B192" s="653" t="s">
        <v>850</v>
      </c>
      <c r="C192" s="654" t="s">
        <v>670</v>
      </c>
      <c r="D192" s="655" t="s">
        <v>25</v>
      </c>
      <c r="E192" s="655" t="s">
        <v>25</v>
      </c>
      <c r="F192" s="656" t="s">
        <v>25</v>
      </c>
      <c r="G192" s="657">
        <f>SUM(G193:G193)</f>
        <v>199618.3</v>
      </c>
      <c r="H192" s="658" t="s">
        <v>25</v>
      </c>
      <c r="I192" s="659" t="s">
        <v>25</v>
      </c>
      <c r="J192" s="660">
        <v>0</v>
      </c>
      <c r="K192" s="655" t="s">
        <v>25</v>
      </c>
      <c r="L192" s="659" t="s">
        <v>25</v>
      </c>
      <c r="M192" s="661">
        <v>0</v>
      </c>
      <c r="N192" s="543"/>
    </row>
    <row r="193" spans="2:14" ht="26.25" thickBot="1">
      <c r="B193" s="776" t="s">
        <v>903</v>
      </c>
      <c r="C193" s="621" t="s">
        <v>904</v>
      </c>
      <c r="D193" s="639" t="s">
        <v>469</v>
      </c>
      <c r="E193" s="639" t="s">
        <v>25</v>
      </c>
      <c r="F193" s="640" t="s">
        <v>25</v>
      </c>
      <c r="G193" s="641">
        <v>199618.3</v>
      </c>
      <c r="H193" s="777" t="s">
        <v>25</v>
      </c>
      <c r="I193" s="778" t="s">
        <v>25</v>
      </c>
      <c r="J193" s="779">
        <v>0</v>
      </c>
      <c r="K193" s="762" t="s">
        <v>25</v>
      </c>
      <c r="L193" s="778" t="s">
        <v>25</v>
      </c>
      <c r="M193" s="780">
        <v>0</v>
      </c>
      <c r="N193" s="543"/>
    </row>
    <row r="194" spans="2:14" ht="26.25" thickBot="1">
      <c r="B194" s="653" t="s">
        <v>905</v>
      </c>
      <c r="C194" s="654" t="s">
        <v>906</v>
      </c>
      <c r="D194" s="655" t="s">
        <v>25</v>
      </c>
      <c r="E194" s="655" t="s">
        <v>25</v>
      </c>
      <c r="F194" s="656" t="s">
        <v>25</v>
      </c>
      <c r="G194" s="657">
        <f>SUM(G195:G195)</f>
        <v>194070.76</v>
      </c>
      <c r="H194" s="658" t="s">
        <v>25</v>
      </c>
      <c r="I194" s="659" t="s">
        <v>25</v>
      </c>
      <c r="J194" s="660">
        <v>0</v>
      </c>
      <c r="K194" s="655" t="s">
        <v>25</v>
      </c>
      <c r="L194" s="659" t="s">
        <v>25</v>
      </c>
      <c r="M194" s="661">
        <v>0</v>
      </c>
      <c r="N194" s="543"/>
    </row>
    <row r="195" spans="2:14" ht="26.25" thickBot="1">
      <c r="B195" s="776" t="s">
        <v>909</v>
      </c>
      <c r="C195" s="621" t="s">
        <v>904</v>
      </c>
      <c r="D195" s="639" t="s">
        <v>469</v>
      </c>
      <c r="E195" s="639" t="s">
        <v>25</v>
      </c>
      <c r="F195" s="640" t="s">
        <v>25</v>
      </c>
      <c r="G195" s="641">
        <f>127163.86+66906.9</f>
        <v>194070.76</v>
      </c>
      <c r="H195" s="777" t="s">
        <v>25</v>
      </c>
      <c r="I195" s="778" t="s">
        <v>25</v>
      </c>
      <c r="J195" s="779">
        <v>0</v>
      </c>
      <c r="K195" s="762" t="s">
        <v>25</v>
      </c>
      <c r="L195" s="778" t="s">
        <v>25</v>
      </c>
      <c r="M195" s="780">
        <v>0</v>
      </c>
      <c r="N195" s="543"/>
    </row>
    <row r="196" spans="2:14" ht="39" thickBot="1">
      <c r="B196" s="653" t="s">
        <v>907</v>
      </c>
      <c r="C196" s="732" t="s">
        <v>911</v>
      </c>
      <c r="D196" s="655" t="s">
        <v>25</v>
      </c>
      <c r="E196" s="655" t="s">
        <v>25</v>
      </c>
      <c r="F196" s="656" t="s">
        <v>25</v>
      </c>
      <c r="G196" s="657">
        <f>SUM(G197:G197)</f>
        <v>0</v>
      </c>
      <c r="H196" s="658" t="s">
        <v>25</v>
      </c>
      <c r="I196" s="659" t="s">
        <v>25</v>
      </c>
      <c r="J196" s="660">
        <f>J197</f>
        <v>477131.95</v>
      </c>
      <c r="K196" s="655" t="s">
        <v>25</v>
      </c>
      <c r="L196" s="659" t="s">
        <v>25</v>
      </c>
      <c r="M196" s="661">
        <f>M197</f>
        <v>341416.55</v>
      </c>
      <c r="N196" s="543"/>
    </row>
    <row r="197" spans="2:14" ht="25.5">
      <c r="B197" s="776" t="s">
        <v>908</v>
      </c>
      <c r="C197" s="621" t="s">
        <v>904</v>
      </c>
      <c r="D197" s="639" t="s">
        <v>469</v>
      </c>
      <c r="E197" s="639" t="s">
        <v>25</v>
      </c>
      <c r="F197" s="640" t="s">
        <v>25</v>
      </c>
      <c r="G197" s="641">
        <v>0</v>
      </c>
      <c r="H197" s="777" t="s">
        <v>25</v>
      </c>
      <c r="I197" s="778" t="s">
        <v>25</v>
      </c>
      <c r="J197" s="779">
        <v>477131.95</v>
      </c>
      <c r="K197" s="762" t="s">
        <v>25</v>
      </c>
      <c r="L197" s="778" t="s">
        <v>25</v>
      </c>
      <c r="M197" s="780">
        <v>341416.55</v>
      </c>
      <c r="N197" s="543"/>
    </row>
    <row r="198" spans="2:14" ht="15.75" thickBot="1">
      <c r="B198" s="781" t="s">
        <v>25</v>
      </c>
      <c r="C198" s="782" t="s">
        <v>254</v>
      </c>
      <c r="D198" s="783" t="s">
        <v>25</v>
      </c>
      <c r="E198" s="783" t="s">
        <v>25</v>
      </c>
      <c r="F198" s="784" t="s">
        <v>25</v>
      </c>
      <c r="G198" s="785">
        <f>G99+G113</f>
        <v>620603.27</v>
      </c>
      <c r="H198" s="784" t="s">
        <v>25</v>
      </c>
      <c r="I198" s="783" t="s">
        <v>25</v>
      </c>
      <c r="J198" s="785">
        <f>J99+J113</f>
        <v>477131.95</v>
      </c>
      <c r="K198" s="783" t="s">
        <v>25</v>
      </c>
      <c r="L198" s="783" t="s">
        <v>25</v>
      </c>
      <c r="M198" s="786">
        <f>M99+M113</f>
        <v>341416.55</v>
      </c>
      <c r="N198" s="543"/>
    </row>
    <row r="201" spans="2:14">
      <c r="B201" s="539" t="s">
        <v>235</v>
      </c>
      <c r="C201" s="539"/>
      <c r="D201" s="539"/>
      <c r="E201" s="539"/>
      <c r="F201" s="539"/>
      <c r="G201" s="539"/>
      <c r="H201" s="539"/>
      <c r="I201" s="539"/>
      <c r="J201" s="539"/>
      <c r="K201" s="539"/>
      <c r="L201" s="539"/>
      <c r="M201" s="539"/>
    </row>
    <row r="202" spans="2:14">
      <c r="B202" s="583" t="s">
        <v>236</v>
      </c>
    </row>
    <row r="203" spans="2:14">
      <c r="B203" s="374" t="s">
        <v>913</v>
      </c>
    </row>
    <row r="204" spans="2:14">
      <c r="B204" s="583" t="s">
        <v>914</v>
      </c>
    </row>
    <row r="205" spans="2:14">
      <c r="B205" s="1065" t="s">
        <v>176</v>
      </c>
      <c r="C205" s="1065" t="s">
        <v>244</v>
      </c>
      <c r="D205" s="1065" t="s">
        <v>440</v>
      </c>
      <c r="E205" s="1065" t="s">
        <v>559</v>
      </c>
      <c r="F205" s="1065"/>
      <c r="G205" s="1065"/>
      <c r="H205" s="1065" t="s">
        <v>560</v>
      </c>
      <c r="I205" s="1065"/>
      <c r="J205" s="1065"/>
      <c r="K205" s="1065" t="s">
        <v>561</v>
      </c>
      <c r="L205" s="1065"/>
      <c r="M205" s="1065"/>
    </row>
    <row r="206" spans="2:14">
      <c r="B206" s="1065"/>
      <c r="C206" s="1065"/>
      <c r="D206" s="1065"/>
      <c r="E206" s="1065" t="s">
        <v>419</v>
      </c>
      <c r="F206" s="1104" t="s">
        <v>307</v>
      </c>
      <c r="G206" s="1104" t="s">
        <v>247</v>
      </c>
      <c r="H206" s="1104" t="s">
        <v>419</v>
      </c>
      <c r="I206" s="730" t="s">
        <v>366</v>
      </c>
      <c r="J206" s="1065" t="s">
        <v>247</v>
      </c>
      <c r="K206" s="1065" t="s">
        <v>419</v>
      </c>
      <c r="L206" s="730" t="s">
        <v>366</v>
      </c>
      <c r="M206" s="1065" t="s">
        <v>247</v>
      </c>
    </row>
    <row r="207" spans="2:14">
      <c r="B207" s="1065"/>
      <c r="C207" s="1065"/>
      <c r="D207" s="1065"/>
      <c r="E207" s="1065"/>
      <c r="F207" s="1104"/>
      <c r="G207" s="1104"/>
      <c r="H207" s="1104"/>
      <c r="I207" s="730" t="s">
        <v>434</v>
      </c>
      <c r="J207" s="1065"/>
      <c r="K207" s="1065"/>
      <c r="L207" s="730" t="s">
        <v>434</v>
      </c>
      <c r="M207" s="1065"/>
    </row>
    <row r="208" spans="2:14" ht="25.5">
      <c r="B208" s="730">
        <v>1</v>
      </c>
      <c r="C208" s="607" t="s">
        <v>912</v>
      </c>
      <c r="D208" s="635" t="s">
        <v>451</v>
      </c>
      <c r="E208" s="635">
        <v>0</v>
      </c>
      <c r="F208" s="753">
        <v>0</v>
      </c>
      <c r="G208" s="753">
        <v>188960.57</v>
      </c>
      <c r="H208" s="609">
        <v>0</v>
      </c>
      <c r="I208" s="531">
        <v>0</v>
      </c>
      <c r="J208" s="531">
        <v>0</v>
      </c>
      <c r="K208" s="531">
        <v>0</v>
      </c>
      <c r="L208" s="531">
        <v>0</v>
      </c>
      <c r="M208" s="531">
        <v>0</v>
      </c>
    </row>
    <row r="209" spans="2:17">
      <c r="B209" s="615"/>
      <c r="C209" s="616" t="s">
        <v>254</v>
      </c>
      <c r="D209" s="612" t="s">
        <v>25</v>
      </c>
      <c r="E209" s="617" t="s">
        <v>25</v>
      </c>
      <c r="F209" s="754" t="s">
        <v>25</v>
      </c>
      <c r="G209" s="790">
        <f>SUM(G208:G208)</f>
        <v>188960.57</v>
      </c>
      <c r="H209" s="754" t="s">
        <v>25</v>
      </c>
      <c r="I209" s="612" t="s">
        <v>25</v>
      </c>
      <c r="J209" s="755">
        <v>0</v>
      </c>
      <c r="K209" s="612" t="s">
        <v>25</v>
      </c>
      <c r="L209" s="612" t="s">
        <v>25</v>
      </c>
      <c r="M209" s="755">
        <v>0</v>
      </c>
    </row>
    <row r="210" spans="2:17">
      <c r="B210" s="445"/>
      <c r="C210" s="793"/>
      <c r="D210" s="445"/>
      <c r="E210" s="794"/>
      <c r="F210" s="795"/>
      <c r="G210" s="796"/>
      <c r="H210" s="795"/>
      <c r="I210" s="797"/>
      <c r="J210" s="797"/>
      <c r="K210" s="797"/>
      <c r="L210" s="797"/>
      <c r="M210" s="797"/>
    </row>
    <row r="211" spans="2:17" hidden="1">
      <c r="B211" s="445"/>
      <c r="C211" s="793"/>
      <c r="D211" s="445"/>
      <c r="E211" s="794"/>
      <c r="F211" s="795"/>
      <c r="G211" s="796"/>
      <c r="H211" s="795"/>
      <c r="I211" s="797"/>
      <c r="J211" s="797"/>
      <c r="K211" s="797"/>
      <c r="L211" s="797"/>
      <c r="M211" s="797"/>
    </row>
    <row r="212" spans="2:17" hidden="1">
      <c r="B212" s="445"/>
      <c r="C212" s="793"/>
      <c r="D212" s="445"/>
      <c r="E212" s="794"/>
      <c r="F212" s="795"/>
      <c r="G212" s="796"/>
      <c r="H212" s="795"/>
      <c r="I212" s="797"/>
      <c r="J212" s="797"/>
      <c r="K212" s="797"/>
      <c r="L212" s="797"/>
      <c r="M212" s="797"/>
    </row>
    <row r="213" spans="2:17" hidden="1">
      <c r="B213" s="445"/>
      <c r="C213" s="793"/>
      <c r="D213" s="445"/>
      <c r="E213" s="794"/>
      <c r="F213" s="795"/>
      <c r="G213" s="796"/>
      <c r="H213" s="795"/>
      <c r="I213" s="797"/>
      <c r="J213" s="797"/>
      <c r="K213" s="797"/>
      <c r="L213" s="797"/>
      <c r="M213" s="797"/>
    </row>
    <row r="214" spans="2:17" s="545" customFormat="1">
      <c r="B214" s="787" t="s">
        <v>243</v>
      </c>
      <c r="C214" s="788"/>
      <c r="D214" s="788"/>
      <c r="E214" s="788"/>
      <c r="F214" s="788"/>
      <c r="G214" s="788"/>
      <c r="H214" s="788"/>
      <c r="I214" s="788"/>
      <c r="J214" s="788"/>
      <c r="K214" s="788"/>
      <c r="L214" s="788"/>
      <c r="M214" s="788"/>
      <c r="N214" s="788"/>
      <c r="O214" s="374"/>
    </row>
    <row r="215" spans="2:17">
      <c r="B215" s="374" t="s">
        <v>239</v>
      </c>
      <c r="N215" s="788"/>
    </row>
    <row r="216" spans="2:17">
      <c r="B216" s="374" t="s">
        <v>874</v>
      </c>
      <c r="N216" s="788"/>
    </row>
    <row r="217" spans="2:17">
      <c r="B217" s="374" t="s">
        <v>880</v>
      </c>
      <c r="N217" s="788"/>
    </row>
    <row r="218" spans="2:17">
      <c r="B218" s="583" t="s">
        <v>528</v>
      </c>
      <c r="N218" s="788"/>
    </row>
    <row r="219" spans="2:17" ht="15" customHeight="1">
      <c r="B219" s="1068" t="s">
        <v>176</v>
      </c>
      <c r="C219" s="1068" t="s">
        <v>244</v>
      </c>
      <c r="D219" s="1068" t="s">
        <v>440</v>
      </c>
      <c r="E219" s="1065" t="s">
        <v>559</v>
      </c>
      <c r="F219" s="1065"/>
      <c r="G219" s="1065"/>
      <c r="H219" s="1065" t="s">
        <v>560</v>
      </c>
      <c r="I219" s="1065"/>
      <c r="J219" s="1065"/>
      <c r="K219" s="1065" t="s">
        <v>561</v>
      </c>
      <c r="L219" s="1065"/>
      <c r="M219" s="1065"/>
      <c r="N219" s="788"/>
    </row>
    <row r="220" spans="2:17" ht="15" customHeight="1">
      <c r="B220" s="1125"/>
      <c r="C220" s="1125"/>
      <c r="D220" s="1125"/>
      <c r="E220" s="1068" t="s">
        <v>419</v>
      </c>
      <c r="F220" s="1068" t="s">
        <v>307</v>
      </c>
      <c r="G220" s="1068" t="s">
        <v>247</v>
      </c>
      <c r="H220" s="1068" t="s">
        <v>419</v>
      </c>
      <c r="I220" s="730" t="s">
        <v>366</v>
      </c>
      <c r="J220" s="1068" t="s">
        <v>247</v>
      </c>
      <c r="K220" s="1068" t="s">
        <v>419</v>
      </c>
      <c r="L220" s="730" t="s">
        <v>366</v>
      </c>
      <c r="M220" s="1068" t="s">
        <v>247</v>
      </c>
      <c r="N220" s="788"/>
    </row>
    <row r="221" spans="2:17" s="543" customFormat="1">
      <c r="B221" s="1126"/>
      <c r="C221" s="1126"/>
      <c r="D221" s="1126"/>
      <c r="E221" s="1126"/>
      <c r="F221" s="1126"/>
      <c r="G221" s="1126"/>
      <c r="H221" s="1126"/>
      <c r="I221" s="730" t="s">
        <v>434</v>
      </c>
      <c r="J221" s="1126"/>
      <c r="K221" s="1126"/>
      <c r="L221" s="730" t="s">
        <v>434</v>
      </c>
      <c r="M221" s="1126"/>
      <c r="N221" s="788"/>
      <c r="O221" s="374"/>
    </row>
    <row r="222" spans="2:17">
      <c r="B222" s="730">
        <v>1</v>
      </c>
      <c r="C222" s="607" t="s">
        <v>881</v>
      </c>
      <c r="D222" s="612" t="s">
        <v>451</v>
      </c>
      <c r="E222" s="612">
        <v>3</v>
      </c>
      <c r="F222" s="613">
        <f t="shared" ref="F222" si="7">G222/E222</f>
        <v>950</v>
      </c>
      <c r="G222" s="613">
        <v>2850</v>
      </c>
      <c r="H222" s="531">
        <v>0</v>
      </c>
      <c r="I222" s="531">
        <v>0</v>
      </c>
      <c r="J222" s="531">
        <v>0</v>
      </c>
      <c r="K222" s="531">
        <v>0</v>
      </c>
      <c r="L222" s="531">
        <v>0</v>
      </c>
      <c r="M222" s="531">
        <v>0</v>
      </c>
      <c r="N222" s="788"/>
    </row>
    <row r="223" spans="2:17" s="799" customFormat="1" ht="14.25">
      <c r="B223" s="789"/>
      <c r="C223" s="739" t="s">
        <v>254</v>
      </c>
      <c r="D223" s="740" t="s">
        <v>25</v>
      </c>
      <c r="E223" s="740" t="s">
        <v>25</v>
      </c>
      <c r="F223" s="740" t="s">
        <v>25</v>
      </c>
      <c r="G223" s="750">
        <f>G222</f>
        <v>2850</v>
      </c>
      <c r="H223" s="740" t="s">
        <v>25</v>
      </c>
      <c r="I223" s="740" t="s">
        <v>25</v>
      </c>
      <c r="J223" s="751">
        <f>J222</f>
        <v>0</v>
      </c>
      <c r="K223" s="740" t="s">
        <v>25</v>
      </c>
      <c r="L223" s="740" t="s">
        <v>25</v>
      </c>
      <c r="M223" s="751">
        <f>M222</f>
        <v>0</v>
      </c>
      <c r="N223" s="798"/>
    </row>
    <row r="224" spans="2:17">
      <c r="C224" s="800"/>
      <c r="D224" s="801"/>
      <c r="E224" s="801"/>
      <c r="F224" s="801"/>
      <c r="G224" s="802"/>
      <c r="H224" s="801"/>
      <c r="I224" s="801"/>
      <c r="J224" s="803"/>
      <c r="K224" s="801"/>
      <c r="L224" s="801"/>
      <c r="M224" s="803"/>
      <c r="Q224" s="538" t="s">
        <v>452</v>
      </c>
    </row>
    <row r="227" spans="2:7">
      <c r="B227" s="801"/>
    </row>
    <row r="228" spans="2:7">
      <c r="B228" s="801"/>
      <c r="E228" s="374">
        <v>2023</v>
      </c>
      <c r="F228" s="374">
        <v>2024</v>
      </c>
      <c r="G228" s="374">
        <v>2025</v>
      </c>
    </row>
    <row r="229" spans="2:7">
      <c r="B229" s="801">
        <v>2</v>
      </c>
      <c r="C229" s="374" t="s">
        <v>891</v>
      </c>
      <c r="D229" s="374">
        <v>310</v>
      </c>
      <c r="E229" s="802">
        <f>G21</f>
        <v>813930</v>
      </c>
      <c r="F229" s="804">
        <f>J21</f>
        <v>200000</v>
      </c>
      <c r="G229" s="804">
        <f>M21</f>
        <v>200000</v>
      </c>
    </row>
    <row r="230" spans="2:7">
      <c r="B230" s="801">
        <v>5</v>
      </c>
      <c r="C230" s="374" t="s">
        <v>892</v>
      </c>
      <c r="D230" s="374">
        <v>310</v>
      </c>
      <c r="E230" s="802">
        <f>G37</f>
        <v>247150</v>
      </c>
      <c r="F230" s="804">
        <f>J37</f>
        <v>0</v>
      </c>
      <c r="G230" s="804">
        <f>M37</f>
        <v>0</v>
      </c>
    </row>
    <row r="231" spans="2:7">
      <c r="B231" s="801"/>
    </row>
    <row r="232" spans="2:7">
      <c r="B232" s="801">
        <v>2</v>
      </c>
      <c r="C232" s="374" t="s">
        <v>891</v>
      </c>
      <c r="D232" s="374">
        <v>342</v>
      </c>
      <c r="E232" s="802">
        <f>G47</f>
        <v>51570</v>
      </c>
      <c r="F232" s="802">
        <f>J47</f>
        <v>51570</v>
      </c>
      <c r="G232" s="802">
        <f>M47</f>
        <v>51570</v>
      </c>
    </row>
    <row r="233" spans="2:7">
      <c r="B233" s="801"/>
    </row>
    <row r="234" spans="2:7">
      <c r="B234" s="801">
        <v>2</v>
      </c>
      <c r="C234" s="374" t="s">
        <v>891</v>
      </c>
      <c r="D234" s="374">
        <v>345</v>
      </c>
      <c r="E234" s="804">
        <f>G49+G50+G51+G52+G53</f>
        <v>9041</v>
      </c>
      <c r="F234" s="804">
        <f>J49+J50+J51+J52+J53</f>
        <v>0</v>
      </c>
      <c r="G234" s="804">
        <f>M49+M50+M51+M52+M53</f>
        <v>0</v>
      </c>
    </row>
    <row r="235" spans="2:7">
      <c r="B235" s="801">
        <v>4</v>
      </c>
      <c r="C235" s="374" t="s">
        <v>891</v>
      </c>
      <c r="D235" s="374">
        <v>345</v>
      </c>
      <c r="E235" s="802">
        <f>G65</f>
        <v>0</v>
      </c>
      <c r="F235" s="802">
        <f>J65</f>
        <v>0</v>
      </c>
      <c r="G235" s="802">
        <f>M65</f>
        <v>0</v>
      </c>
    </row>
    <row r="236" spans="2:7">
      <c r="B236" s="801"/>
    </row>
    <row r="237" spans="2:7">
      <c r="B237" s="801"/>
    </row>
    <row r="238" spans="2:7">
      <c r="B238" s="801">
        <v>2</v>
      </c>
      <c r="C238" s="374" t="s">
        <v>893</v>
      </c>
      <c r="D238" s="374">
        <v>345</v>
      </c>
      <c r="E238" s="802">
        <f>G78</f>
        <v>6171.52</v>
      </c>
      <c r="F238" s="804">
        <f>J78</f>
        <v>7246.66</v>
      </c>
      <c r="G238" s="804">
        <f>M78</f>
        <v>7181.72</v>
      </c>
    </row>
    <row r="239" spans="2:7">
      <c r="B239" s="801">
        <v>4</v>
      </c>
      <c r="C239" s="374" t="s">
        <v>893</v>
      </c>
      <c r="D239" s="374">
        <v>345</v>
      </c>
      <c r="E239" s="802">
        <f>G89</f>
        <v>26310.14</v>
      </c>
      <c r="F239" s="804">
        <f>J89</f>
        <v>30893.68</v>
      </c>
      <c r="G239" s="804">
        <f>M89</f>
        <v>30616.73</v>
      </c>
    </row>
    <row r="240" spans="2:7">
      <c r="B240" s="801"/>
    </row>
    <row r="241" spans="2:7">
      <c r="B241" s="801"/>
    </row>
    <row r="242" spans="2:7">
      <c r="B242" s="801">
        <v>4</v>
      </c>
      <c r="C242" s="374" t="s">
        <v>894</v>
      </c>
      <c r="D242" s="374">
        <v>345</v>
      </c>
      <c r="E242" s="802">
        <f>G99</f>
        <v>83000</v>
      </c>
      <c r="F242" s="802">
        <f>J99</f>
        <v>0</v>
      </c>
      <c r="G242" s="802">
        <f>M99</f>
        <v>0</v>
      </c>
    </row>
    <row r="243" spans="2:7">
      <c r="B243" s="801">
        <v>4</v>
      </c>
      <c r="C243" s="374" t="s">
        <v>894</v>
      </c>
      <c r="D243" s="374">
        <v>346</v>
      </c>
      <c r="E243" s="802">
        <f>G113</f>
        <v>537603.27</v>
      </c>
      <c r="F243" s="802">
        <f>J113</f>
        <v>477131.95</v>
      </c>
      <c r="G243" s="802">
        <f>M113</f>
        <v>341416.55</v>
      </c>
    </row>
    <row r="244" spans="2:7">
      <c r="B244" s="801"/>
    </row>
    <row r="245" spans="2:7">
      <c r="B245" s="801">
        <v>2</v>
      </c>
      <c r="C245" s="374" t="s">
        <v>891</v>
      </c>
      <c r="D245" s="374">
        <v>346</v>
      </c>
      <c r="E245" s="802">
        <f>G54</f>
        <v>537923.11</v>
      </c>
      <c r="F245" s="802">
        <f>J54</f>
        <v>491020.43</v>
      </c>
      <c r="G245" s="802">
        <f>M54</f>
        <v>491020.43</v>
      </c>
    </row>
    <row r="246" spans="2:7">
      <c r="B246" s="801">
        <v>4</v>
      </c>
      <c r="C246" s="374" t="s">
        <v>891</v>
      </c>
      <c r="D246" s="374">
        <v>346</v>
      </c>
      <c r="E246" s="802">
        <f>G66</f>
        <v>187438.31</v>
      </c>
      <c r="F246" s="802">
        <f>J66</f>
        <v>87438.32</v>
      </c>
      <c r="G246" s="802">
        <f>M66</f>
        <v>87438.31</v>
      </c>
    </row>
    <row r="247" spans="2:7">
      <c r="B247" s="801"/>
    </row>
    <row r="248" spans="2:7">
      <c r="B248" s="801"/>
    </row>
    <row r="249" spans="2:7">
      <c r="B249" s="801">
        <v>4</v>
      </c>
      <c r="C249" s="374" t="s">
        <v>910</v>
      </c>
      <c r="D249" s="374">
        <v>346</v>
      </c>
      <c r="E249" s="802">
        <f>G209</f>
        <v>188960.57</v>
      </c>
      <c r="F249" s="804">
        <f>J209</f>
        <v>0</v>
      </c>
      <c r="G249" s="804">
        <f>M209</f>
        <v>0</v>
      </c>
    </row>
    <row r="250" spans="2:7">
      <c r="B250" s="801"/>
    </row>
    <row r="251" spans="2:7">
      <c r="B251" s="801"/>
    </row>
    <row r="252" spans="2:7">
      <c r="B252" s="801">
        <v>5</v>
      </c>
      <c r="C252" s="374" t="s">
        <v>892</v>
      </c>
      <c r="D252" s="374">
        <v>346</v>
      </c>
      <c r="E252" s="802">
        <f>G223</f>
        <v>2850</v>
      </c>
      <c r="F252" s="802">
        <f>J223</f>
        <v>0</v>
      </c>
      <c r="G252" s="802">
        <f>M223</f>
        <v>0</v>
      </c>
    </row>
    <row r="254" spans="2:7">
      <c r="E254" s="802">
        <f>SUM(E229:E252)</f>
        <v>2691947.92</v>
      </c>
      <c r="F254" s="802">
        <f t="shared" ref="F254:G254" si="8">SUM(F229:F252)</f>
        <v>1345301.04</v>
      </c>
      <c r="G254" s="802">
        <f t="shared" si="8"/>
        <v>1209243.74</v>
      </c>
    </row>
  </sheetData>
  <mergeCells count="119">
    <mergeCell ref="B29:B31"/>
    <mergeCell ref="C29:C31"/>
    <mergeCell ref="D29:D31"/>
    <mergeCell ref="E29:G29"/>
    <mergeCell ref="H29:J29"/>
    <mergeCell ref="K29:M29"/>
    <mergeCell ref="E30:E31"/>
    <mergeCell ref="F30:F31"/>
    <mergeCell ref="G30:G31"/>
    <mergeCell ref="H30:H31"/>
    <mergeCell ref="J30:J31"/>
    <mergeCell ref="K30:K31"/>
    <mergeCell ref="M30:M31"/>
    <mergeCell ref="M220:M221"/>
    <mergeCell ref="B219:B221"/>
    <mergeCell ref="C219:C221"/>
    <mergeCell ref="D219:D221"/>
    <mergeCell ref="E219:G219"/>
    <mergeCell ref="H219:J219"/>
    <mergeCell ref="K219:M219"/>
    <mergeCell ref="E220:E221"/>
    <mergeCell ref="F220:F221"/>
    <mergeCell ref="G220:G221"/>
    <mergeCell ref="H220:H221"/>
    <mergeCell ref="J220:J221"/>
    <mergeCell ref="K220:K221"/>
    <mergeCell ref="B8:B10"/>
    <mergeCell ref="C8:C10"/>
    <mergeCell ref="D8:D10"/>
    <mergeCell ref="E8:G8"/>
    <mergeCell ref="H8:J8"/>
    <mergeCell ref="K8:M8"/>
    <mergeCell ref="E9:E10"/>
    <mergeCell ref="F9:F10"/>
    <mergeCell ref="G9:G10"/>
    <mergeCell ref="H9:H10"/>
    <mergeCell ref="J9:J10"/>
    <mergeCell ref="K9:K10"/>
    <mergeCell ref="M9:M10"/>
    <mergeCell ref="K44:M44"/>
    <mergeCell ref="E45:E46"/>
    <mergeCell ref="F45:F46"/>
    <mergeCell ref="G45:G46"/>
    <mergeCell ref="H45:H46"/>
    <mergeCell ref="J45:J46"/>
    <mergeCell ref="K45:K46"/>
    <mergeCell ref="M45:M46"/>
    <mergeCell ref="B44:B46"/>
    <mergeCell ref="C44:C46"/>
    <mergeCell ref="D44:D46"/>
    <mergeCell ref="E44:G44"/>
    <mergeCell ref="H44:J44"/>
    <mergeCell ref="B96:B98"/>
    <mergeCell ref="C96:C98"/>
    <mergeCell ref="D96:D98"/>
    <mergeCell ref="E96:G96"/>
    <mergeCell ref="H96:J96"/>
    <mergeCell ref="K62:M62"/>
    <mergeCell ref="E63:E64"/>
    <mergeCell ref="F63:F64"/>
    <mergeCell ref="G63:G64"/>
    <mergeCell ref="H63:H64"/>
    <mergeCell ref="J63:J64"/>
    <mergeCell ref="K63:K64"/>
    <mergeCell ref="M63:M64"/>
    <mergeCell ref="B62:B64"/>
    <mergeCell ref="C62:C64"/>
    <mergeCell ref="D62:D64"/>
    <mergeCell ref="E62:G62"/>
    <mergeCell ref="H62:J62"/>
    <mergeCell ref="K96:M96"/>
    <mergeCell ref="E97:E98"/>
    <mergeCell ref="F97:F98"/>
    <mergeCell ref="G97:G98"/>
    <mergeCell ref="H97:H98"/>
    <mergeCell ref="I97:I98"/>
    <mergeCell ref="J97:J98"/>
    <mergeCell ref="K97:K98"/>
    <mergeCell ref="L97:L98"/>
    <mergeCell ref="M97:M98"/>
    <mergeCell ref="K74:M74"/>
    <mergeCell ref="E75:E76"/>
    <mergeCell ref="F75:F76"/>
    <mergeCell ref="G75:G76"/>
    <mergeCell ref="H75:H76"/>
    <mergeCell ref="J75:J76"/>
    <mergeCell ref="K75:K76"/>
    <mergeCell ref="M75:M76"/>
    <mergeCell ref="B74:B76"/>
    <mergeCell ref="C74:C76"/>
    <mergeCell ref="D74:D76"/>
    <mergeCell ref="E74:G74"/>
    <mergeCell ref="H74:J74"/>
    <mergeCell ref="K85:M85"/>
    <mergeCell ref="E86:E87"/>
    <mergeCell ref="F86:F87"/>
    <mergeCell ref="G86:G87"/>
    <mergeCell ref="H86:H87"/>
    <mergeCell ref="J86:J87"/>
    <mergeCell ref="K86:K87"/>
    <mergeCell ref="M86:M87"/>
    <mergeCell ref="B85:B87"/>
    <mergeCell ref="C85:C87"/>
    <mergeCell ref="D85:D87"/>
    <mergeCell ref="E85:G85"/>
    <mergeCell ref="H85:J85"/>
    <mergeCell ref="K205:M205"/>
    <mergeCell ref="E206:E207"/>
    <mergeCell ref="F206:F207"/>
    <mergeCell ref="G206:G207"/>
    <mergeCell ref="H206:H207"/>
    <mergeCell ref="J206:J207"/>
    <mergeCell ref="K206:K207"/>
    <mergeCell ref="M206:M207"/>
    <mergeCell ref="B205:B207"/>
    <mergeCell ref="C205:C207"/>
    <mergeCell ref="D205:D207"/>
    <mergeCell ref="E205:G205"/>
    <mergeCell ref="H205:J205"/>
  </mergeCells>
  <pageMargins left="0.78740157480314965" right="0.39370078740157483" top="0.39370078740157483" bottom="0.39370078740157483" header="0.31496062992125984" footer="0.31496062992125984"/>
  <pageSetup paperSize="9" scale="46"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sheetPr>
  <dimension ref="A1:AI137"/>
  <sheetViews>
    <sheetView view="pageBreakPreview" zoomScale="70" zoomScaleNormal="85" zoomScaleSheetLayoutView="70" workbookViewId="0">
      <pane xSplit="5" ySplit="3" topLeftCell="F4" activePane="bottomRight" state="frozen"/>
      <selection pane="topRight" activeCell="F1" sqref="F1"/>
      <selection pane="bottomLeft" activeCell="A4" sqref="A4"/>
      <selection pane="bottomRight" activeCell="T66" sqref="T66:T67"/>
    </sheetView>
  </sheetViews>
  <sheetFormatPr defaultColWidth="9.140625" defaultRowHeight="15"/>
  <cols>
    <col min="1" max="1" width="39.5703125" style="29" bestFit="1" customWidth="1"/>
    <col min="2" max="2" width="12.42578125" style="30" bestFit="1" customWidth="1"/>
    <col min="3" max="3" width="21.140625" style="30" bestFit="1" customWidth="1"/>
    <col min="4" max="4" width="16.7109375" style="30" bestFit="1" customWidth="1"/>
    <col min="5" max="5" width="20.140625" style="29" bestFit="1" customWidth="1"/>
    <col min="6" max="6" width="13.7109375" style="526" hidden="1" customWidth="1"/>
    <col min="7" max="7" width="14.42578125" style="526" hidden="1" customWidth="1"/>
    <col min="8" max="19" width="12.85546875" style="526" hidden="1" customWidth="1"/>
    <col min="20" max="20" width="21.28515625" style="29" bestFit="1" customWidth="1"/>
    <col min="21" max="23" width="21.28515625" style="29" hidden="1" bestFit="1" customWidth="1"/>
    <col min="24" max="24" width="20.140625" style="29" bestFit="1" customWidth="1"/>
    <col min="25" max="27" width="18" style="29" hidden="1" bestFit="1" customWidth="1"/>
    <col min="28" max="28" width="16.140625" style="31" bestFit="1" customWidth="1"/>
    <col min="29" max="29" width="19.28515625" style="29" customWidth="1"/>
    <col min="30" max="30" width="23.5703125" style="29" customWidth="1"/>
    <col min="31" max="31" width="13.42578125" style="29" bestFit="1" customWidth="1"/>
    <col min="32" max="32" width="14.42578125" style="29" bestFit="1" customWidth="1"/>
    <col min="33" max="33" width="17.5703125" style="29" bestFit="1" customWidth="1"/>
    <col min="34" max="34" width="13" style="29" bestFit="1" customWidth="1"/>
    <col min="35" max="35" width="9.140625" style="29" bestFit="1"/>
    <col min="36" max="16384" width="9.140625" style="29"/>
  </cols>
  <sheetData>
    <row r="1" spans="1:31" ht="30.75" customHeight="1">
      <c r="A1" s="930" t="s">
        <v>8</v>
      </c>
      <c r="B1" s="930"/>
      <c r="C1" s="930"/>
      <c r="D1" s="930"/>
      <c r="E1" s="930"/>
      <c r="F1" s="930"/>
      <c r="G1" s="930"/>
      <c r="H1" s="930"/>
      <c r="I1" s="930"/>
      <c r="J1" s="930"/>
      <c r="K1" s="930"/>
      <c r="L1" s="930"/>
      <c r="M1" s="930"/>
      <c r="N1" s="930"/>
      <c r="O1" s="930"/>
      <c r="P1" s="930"/>
      <c r="Q1" s="930"/>
      <c r="R1" s="930"/>
      <c r="S1" s="930"/>
      <c r="T1" s="930"/>
      <c r="U1" s="930"/>
      <c r="V1" s="930"/>
      <c r="W1" s="930"/>
      <c r="X1" s="930"/>
      <c r="Y1" s="930"/>
      <c r="Z1" s="930"/>
      <c r="AA1" s="930"/>
      <c r="AB1" s="930"/>
    </row>
    <row r="2" spans="1:31" ht="30.75" customHeight="1">
      <c r="A2" s="885" t="s">
        <v>9</v>
      </c>
      <c r="B2" s="885" t="s">
        <v>10</v>
      </c>
      <c r="C2" s="885" t="s">
        <v>11</v>
      </c>
      <c r="D2" s="885" t="s">
        <v>12</v>
      </c>
      <c r="E2" s="885" t="s">
        <v>13</v>
      </c>
      <c r="F2" s="885"/>
      <c r="G2" s="885"/>
      <c r="H2" s="885"/>
      <c r="I2" s="885"/>
      <c r="J2" s="885"/>
      <c r="K2" s="885"/>
      <c r="L2" s="885"/>
      <c r="M2" s="885"/>
      <c r="N2" s="885"/>
      <c r="O2" s="885"/>
      <c r="P2" s="885"/>
      <c r="Q2" s="885"/>
      <c r="R2" s="885"/>
      <c r="S2" s="885"/>
      <c r="T2" s="885"/>
      <c r="U2" s="885"/>
      <c r="V2" s="885"/>
      <c r="W2" s="885"/>
      <c r="X2" s="885"/>
      <c r="Y2" s="885"/>
      <c r="Z2" s="885"/>
      <c r="AA2" s="885"/>
      <c r="AB2" s="885"/>
    </row>
    <row r="3" spans="1:31" s="120" customFormat="1" ht="81" customHeight="1">
      <c r="A3" s="885"/>
      <c r="B3" s="885"/>
      <c r="C3" s="885"/>
      <c r="D3" s="885"/>
      <c r="E3" s="896" t="s">
        <v>943</v>
      </c>
      <c r="F3" s="934" t="s">
        <v>651</v>
      </c>
      <c r="G3" s="935"/>
      <c r="H3" s="936"/>
      <c r="I3" s="939" t="s">
        <v>652</v>
      </c>
      <c r="J3" s="940"/>
      <c r="K3" s="941"/>
      <c r="L3" s="875"/>
      <c r="M3" s="875"/>
      <c r="N3" s="875"/>
      <c r="O3" s="875"/>
      <c r="P3" s="875"/>
      <c r="Q3" s="875"/>
      <c r="R3" s="875"/>
      <c r="S3" s="875"/>
      <c r="T3" s="896" t="s">
        <v>944</v>
      </c>
      <c r="U3" s="873"/>
      <c r="V3" s="873"/>
      <c r="W3" s="873"/>
      <c r="X3" s="896" t="s">
        <v>945</v>
      </c>
      <c r="Y3" s="460"/>
      <c r="Z3" s="460"/>
      <c r="AA3" s="460"/>
      <c r="AB3" s="893" t="s">
        <v>14</v>
      </c>
    </row>
    <row r="4" spans="1:31">
      <c r="A4" s="885"/>
      <c r="B4" s="885"/>
      <c r="C4" s="885"/>
      <c r="D4" s="885"/>
      <c r="E4" s="897"/>
      <c r="F4" s="546" t="s">
        <v>650</v>
      </c>
      <c r="G4" s="546" t="s">
        <v>648</v>
      </c>
      <c r="H4" s="546" t="s">
        <v>649</v>
      </c>
      <c r="I4" s="547" t="s">
        <v>650</v>
      </c>
      <c r="J4" s="547" t="s">
        <v>648</v>
      </c>
      <c r="K4" s="547" t="s">
        <v>649</v>
      </c>
      <c r="L4" s="547"/>
      <c r="M4" s="547"/>
      <c r="N4" s="547"/>
      <c r="O4" s="547"/>
      <c r="P4" s="547"/>
      <c r="Q4" s="547"/>
      <c r="R4" s="547"/>
      <c r="S4" s="547"/>
      <c r="T4" s="897"/>
      <c r="U4" s="874">
        <v>2</v>
      </c>
      <c r="V4" s="874">
        <v>4</v>
      </c>
      <c r="W4" s="874">
        <v>5</v>
      </c>
      <c r="X4" s="897"/>
      <c r="Y4" s="367">
        <v>2</v>
      </c>
      <c r="Z4" s="367">
        <v>4</v>
      </c>
      <c r="AA4" s="367">
        <v>5</v>
      </c>
      <c r="AB4" s="894"/>
    </row>
    <row r="5" spans="1:31">
      <c r="A5" s="349">
        <v>1</v>
      </c>
      <c r="B5" s="349">
        <v>2</v>
      </c>
      <c r="C5" s="349">
        <v>3</v>
      </c>
      <c r="D5" s="349">
        <v>4</v>
      </c>
      <c r="E5" s="349">
        <v>5</v>
      </c>
      <c r="F5" s="546"/>
      <c r="G5" s="546"/>
      <c r="H5" s="546"/>
      <c r="I5" s="546"/>
      <c r="J5" s="546"/>
      <c r="K5" s="546"/>
      <c r="L5" s="546"/>
      <c r="M5" s="546"/>
      <c r="N5" s="546"/>
      <c r="O5" s="546"/>
      <c r="P5" s="546"/>
      <c r="Q5" s="546"/>
      <c r="R5" s="546"/>
      <c r="S5" s="546"/>
      <c r="T5" s="349">
        <v>6</v>
      </c>
      <c r="U5" s="367"/>
      <c r="V5" s="367"/>
      <c r="W5" s="367"/>
      <c r="X5" s="349">
        <v>7</v>
      </c>
      <c r="Y5" s="367"/>
      <c r="Z5" s="367"/>
      <c r="AA5" s="367"/>
      <c r="AB5" s="32">
        <v>8</v>
      </c>
    </row>
    <row r="6" spans="1:31">
      <c r="A6" s="921" t="s">
        <v>23</v>
      </c>
      <c r="B6" s="931" t="s">
        <v>24</v>
      </c>
      <c r="C6" s="885" t="s">
        <v>25</v>
      </c>
      <c r="D6" s="885" t="s">
        <v>25</v>
      </c>
      <c r="E6" s="932">
        <f>122820.69+578268.85</f>
        <v>701089.54</v>
      </c>
      <c r="F6" s="937">
        <f>G6+H6</f>
        <v>1532575.99</v>
      </c>
      <c r="G6" s="937">
        <f>890702+268992.51</f>
        <v>1159694.51</v>
      </c>
      <c r="H6" s="937">
        <v>372881.48</v>
      </c>
      <c r="I6" s="548"/>
      <c r="J6" s="548"/>
      <c r="K6" s="548"/>
      <c r="L6" s="548"/>
      <c r="M6" s="548"/>
      <c r="N6" s="548"/>
      <c r="O6" s="548"/>
      <c r="P6" s="548"/>
      <c r="Q6" s="548"/>
      <c r="R6" s="548"/>
      <c r="S6" s="548"/>
      <c r="T6" s="933" t="s">
        <v>51</v>
      </c>
      <c r="U6" s="457"/>
      <c r="V6" s="457"/>
      <c r="W6" s="457"/>
      <c r="X6" s="933" t="s">
        <v>51</v>
      </c>
      <c r="Y6" s="34"/>
      <c r="Z6" s="34"/>
      <c r="AA6" s="34"/>
      <c r="AB6" s="886" t="s">
        <v>51</v>
      </c>
    </row>
    <row r="7" spans="1:31">
      <c r="A7" s="921"/>
      <c r="B7" s="931"/>
      <c r="C7" s="885"/>
      <c r="D7" s="885"/>
      <c r="E7" s="932"/>
      <c r="F7" s="938"/>
      <c r="G7" s="938"/>
      <c r="H7" s="938"/>
      <c r="I7" s="549"/>
      <c r="J7" s="549"/>
      <c r="K7" s="549"/>
      <c r="L7" s="549"/>
      <c r="M7" s="549"/>
      <c r="N7" s="549"/>
      <c r="O7" s="549"/>
      <c r="P7" s="549"/>
      <c r="Q7" s="549"/>
      <c r="R7" s="549"/>
      <c r="S7" s="549"/>
      <c r="T7" s="933"/>
      <c r="U7" s="457"/>
      <c r="V7" s="457"/>
      <c r="W7" s="457"/>
      <c r="X7" s="933"/>
      <c r="Y7" s="34"/>
      <c r="Z7" s="34"/>
      <c r="AA7" s="34"/>
      <c r="AB7" s="886"/>
    </row>
    <row r="8" spans="1:31" s="120" customFormat="1" ht="15.75" hidden="1">
      <c r="A8" s="351"/>
      <c r="B8" s="352"/>
      <c r="C8" s="349"/>
      <c r="D8" s="349"/>
      <c r="E8" s="353"/>
      <c r="F8" s="550"/>
      <c r="G8" s="550"/>
      <c r="H8" s="550"/>
      <c r="I8" s="550"/>
      <c r="J8" s="550"/>
      <c r="K8" s="550"/>
      <c r="L8" s="550"/>
      <c r="M8" s="550"/>
      <c r="N8" s="550"/>
      <c r="O8" s="550"/>
      <c r="P8" s="550"/>
      <c r="Q8" s="550"/>
      <c r="R8" s="550"/>
      <c r="S8" s="550"/>
      <c r="T8" s="207"/>
      <c r="U8" s="208"/>
      <c r="V8" s="208"/>
      <c r="W8" s="208"/>
      <c r="X8" s="207"/>
      <c r="Y8" s="209"/>
      <c r="Z8" s="209"/>
      <c r="AA8" s="209"/>
      <c r="AB8" s="210"/>
    </row>
    <row r="9" spans="1:31" s="120" customFormat="1" ht="22.5" hidden="1" customHeight="1">
      <c r="A9" s="138"/>
      <c r="B9" s="138"/>
      <c r="C9" s="138"/>
      <c r="D9" s="138"/>
      <c r="E9" s="138"/>
      <c r="F9" s="550"/>
      <c r="G9" s="550"/>
      <c r="H9" s="550"/>
      <c r="I9" s="550"/>
      <c r="J9" s="550"/>
      <c r="K9" s="550"/>
      <c r="L9" s="550"/>
      <c r="M9" s="550"/>
      <c r="N9" s="550"/>
      <c r="O9" s="550"/>
      <c r="P9" s="550"/>
      <c r="Q9" s="550"/>
      <c r="R9" s="550"/>
      <c r="S9" s="550"/>
      <c r="T9" s="218"/>
      <c r="U9" s="33"/>
      <c r="V9" s="33"/>
      <c r="W9" s="33"/>
      <c r="X9" s="138"/>
      <c r="Y9" s="138"/>
      <c r="Z9" s="138"/>
      <c r="AA9" s="138"/>
      <c r="AB9" s="138"/>
    </row>
    <row r="10" spans="1:31" s="120" customFormat="1" ht="30.75" customHeight="1">
      <c r="A10" s="370" t="s">
        <v>26</v>
      </c>
      <c r="B10" s="219" t="s">
        <v>27</v>
      </c>
      <c r="C10" s="369" t="s">
        <v>25</v>
      </c>
      <c r="D10" s="369" t="s">
        <v>25</v>
      </c>
      <c r="E10" s="220" t="s">
        <v>51</v>
      </c>
      <c r="F10" s="551"/>
      <c r="G10" s="551"/>
      <c r="H10" s="551"/>
      <c r="I10" s="551"/>
      <c r="J10" s="551"/>
      <c r="K10" s="551"/>
      <c r="L10" s="551"/>
      <c r="M10" s="551"/>
      <c r="N10" s="551"/>
      <c r="O10" s="551"/>
      <c r="P10" s="551"/>
      <c r="Q10" s="551"/>
      <c r="R10" s="551"/>
      <c r="S10" s="551"/>
      <c r="T10" s="363" t="s">
        <v>51</v>
      </c>
      <c r="U10" s="217"/>
      <c r="V10" s="217"/>
      <c r="W10" s="217"/>
      <c r="X10" s="220" t="s">
        <v>51</v>
      </c>
      <c r="Y10" s="221"/>
      <c r="Z10" s="221"/>
      <c r="AA10" s="221"/>
      <c r="AB10" s="220" t="s">
        <v>51</v>
      </c>
    </row>
    <row r="11" spans="1:31" s="35" customFormat="1">
      <c r="A11" s="365" t="s">
        <v>28</v>
      </c>
      <c r="B11" s="357">
        <v>1000</v>
      </c>
      <c r="C11" s="357" t="s">
        <v>52</v>
      </c>
      <c r="D11" s="357" t="s">
        <v>52</v>
      </c>
      <c r="E11" s="358">
        <f>E15+E22</f>
        <v>96665466.109999999</v>
      </c>
      <c r="F11" s="519"/>
      <c r="G11" s="519"/>
      <c r="H11" s="519"/>
      <c r="I11" s="519"/>
      <c r="J11" s="519"/>
      <c r="K11" s="519"/>
      <c r="L11" s="519"/>
      <c r="M11" s="519"/>
      <c r="N11" s="519"/>
      <c r="O11" s="519"/>
      <c r="P11" s="519"/>
      <c r="Q11" s="519"/>
      <c r="R11" s="519"/>
      <c r="S11" s="519"/>
      <c r="T11" s="358">
        <f>T15+T22+T28</f>
        <v>83217793.840000004</v>
      </c>
      <c r="U11" s="36">
        <f>U15</f>
        <v>0</v>
      </c>
      <c r="V11" s="36" t="str">
        <f>V15</f>
        <v>2021 год</v>
      </c>
      <c r="W11" s="36">
        <v>4800</v>
      </c>
      <c r="X11" s="358">
        <f>X15+X22+X28</f>
        <v>83460503.280000001</v>
      </c>
      <c r="Y11" s="36">
        <f>Y15</f>
        <v>12701250</v>
      </c>
      <c r="Z11" s="36">
        <f>Z15</f>
        <v>46636352.270000003</v>
      </c>
      <c r="AA11" s="36">
        <f>AA25</f>
        <v>7200</v>
      </c>
      <c r="AB11" s="359" t="s">
        <v>51</v>
      </c>
      <c r="AC11" s="876">
        <f>E11+E6+E116</f>
        <v>97260582.650000006</v>
      </c>
    </row>
    <row r="12" spans="1:31" s="196" customFormat="1" hidden="1">
      <c r="A12" s="212" t="s">
        <v>30</v>
      </c>
      <c r="B12" s="214"/>
      <c r="C12" s="214"/>
      <c r="D12" s="214"/>
      <c r="E12" s="214"/>
      <c r="F12" s="552"/>
      <c r="G12" s="552"/>
      <c r="H12" s="552"/>
      <c r="I12" s="552"/>
      <c r="J12" s="552"/>
      <c r="K12" s="552"/>
      <c r="L12" s="552"/>
      <c r="M12" s="552"/>
      <c r="N12" s="552"/>
      <c r="O12" s="552"/>
      <c r="P12" s="552"/>
      <c r="Q12" s="552"/>
      <c r="R12" s="552"/>
      <c r="S12" s="552"/>
      <c r="T12" s="214"/>
      <c r="U12" s="214"/>
      <c r="V12" s="214"/>
      <c r="W12" s="214"/>
      <c r="X12" s="214"/>
      <c r="Y12" s="214"/>
      <c r="Z12" s="214"/>
      <c r="AA12" s="214"/>
      <c r="AB12" s="216"/>
    </row>
    <row r="13" spans="1:31" ht="30">
      <c r="A13" s="351" t="s">
        <v>513</v>
      </c>
      <c r="B13" s="349">
        <v>1100</v>
      </c>
      <c r="C13" s="349">
        <v>120</v>
      </c>
      <c r="D13" s="349" t="s">
        <v>25</v>
      </c>
      <c r="E13" s="350" t="s">
        <v>51</v>
      </c>
      <c r="F13" s="546"/>
      <c r="G13" s="546"/>
      <c r="H13" s="546"/>
      <c r="I13" s="546"/>
      <c r="J13" s="546"/>
      <c r="K13" s="546"/>
      <c r="L13" s="546"/>
      <c r="M13" s="546"/>
      <c r="N13" s="546"/>
      <c r="O13" s="546"/>
      <c r="P13" s="546"/>
      <c r="Q13" s="546"/>
      <c r="R13" s="546"/>
      <c r="S13" s="546"/>
      <c r="T13" s="350" t="s">
        <v>51</v>
      </c>
      <c r="U13" s="367"/>
      <c r="V13" s="367"/>
      <c r="W13" s="367"/>
      <c r="X13" s="350" t="s">
        <v>51</v>
      </c>
      <c r="Y13" s="367"/>
      <c r="Z13" s="367"/>
      <c r="AA13" s="367"/>
      <c r="AB13" s="350" t="s">
        <v>51</v>
      </c>
      <c r="AC13" s="38"/>
      <c r="AD13" s="38"/>
    </row>
    <row r="14" spans="1:31">
      <c r="A14" s="351" t="s">
        <v>30</v>
      </c>
      <c r="B14" s="349">
        <v>1110</v>
      </c>
      <c r="C14" s="349" t="s">
        <v>25</v>
      </c>
      <c r="D14" s="349" t="s">
        <v>25</v>
      </c>
      <c r="E14" s="349" t="s">
        <v>25</v>
      </c>
      <c r="F14" s="546"/>
      <c r="G14" s="546"/>
      <c r="H14" s="546"/>
      <c r="I14" s="546"/>
      <c r="J14" s="546"/>
      <c r="K14" s="546"/>
      <c r="L14" s="546"/>
      <c r="M14" s="546"/>
      <c r="N14" s="546"/>
      <c r="O14" s="546"/>
      <c r="P14" s="546"/>
      <c r="Q14" s="546"/>
      <c r="R14" s="546"/>
      <c r="S14" s="546"/>
      <c r="T14" s="349" t="s">
        <v>25</v>
      </c>
      <c r="U14" s="367"/>
      <c r="V14" s="367"/>
      <c r="W14" s="367"/>
      <c r="X14" s="349" t="s">
        <v>25</v>
      </c>
      <c r="Y14" s="367"/>
      <c r="Z14" s="367"/>
      <c r="AA14" s="367"/>
      <c r="AB14" s="350" t="s">
        <v>25</v>
      </c>
    </row>
    <row r="15" spans="1:31">
      <c r="A15" s="921" t="s">
        <v>29</v>
      </c>
      <c r="B15" s="885">
        <v>1200</v>
      </c>
      <c r="C15" s="885">
        <v>130</v>
      </c>
      <c r="D15" s="885" t="s">
        <v>25</v>
      </c>
      <c r="E15" s="928">
        <f>E17+E18</f>
        <v>95820763.359999999</v>
      </c>
      <c r="F15" s="553"/>
      <c r="G15" s="553"/>
      <c r="H15" s="553"/>
      <c r="I15" s="553"/>
      <c r="J15" s="553"/>
      <c r="K15" s="553"/>
      <c r="L15" s="553"/>
      <c r="M15" s="553"/>
      <c r="N15" s="553"/>
      <c r="O15" s="553"/>
      <c r="P15" s="553"/>
      <c r="Q15" s="553"/>
      <c r="R15" s="553"/>
      <c r="S15" s="553"/>
      <c r="T15" s="904">
        <f>T17+T18</f>
        <v>83217793.840000004</v>
      </c>
      <c r="U15" s="900"/>
      <c r="V15" s="900" t="str">
        <f>[1]Лист12!G299</f>
        <v>2021 год</v>
      </c>
      <c r="W15" s="900"/>
      <c r="X15" s="904">
        <f>X17+X18</f>
        <v>83460503.280000001</v>
      </c>
      <c r="Y15" s="900">
        <f>[1]Лист12!H302</f>
        <v>12701250</v>
      </c>
      <c r="Z15" s="900">
        <f>[1]Лист12!H301</f>
        <v>46636352.270000003</v>
      </c>
      <c r="AA15" s="900"/>
      <c r="AB15" s="886" t="s">
        <v>51</v>
      </c>
    </row>
    <row r="16" spans="1:31" ht="30" customHeight="1">
      <c r="A16" s="921"/>
      <c r="B16" s="885"/>
      <c r="C16" s="885"/>
      <c r="D16" s="885"/>
      <c r="E16" s="929">
        <v>62012159.640000001</v>
      </c>
      <c r="F16" s="553"/>
      <c r="G16" s="553"/>
      <c r="H16" s="553"/>
      <c r="I16" s="553"/>
      <c r="J16" s="553"/>
      <c r="K16" s="553"/>
      <c r="L16" s="553"/>
      <c r="M16" s="553"/>
      <c r="N16" s="553"/>
      <c r="O16" s="553"/>
      <c r="P16" s="553"/>
      <c r="Q16" s="553"/>
      <c r="R16" s="553"/>
      <c r="S16" s="553"/>
      <c r="T16" s="904">
        <f t="shared" ref="T16" si="0">42206072.04+11490000</f>
        <v>53696072.039999999</v>
      </c>
      <c r="U16" s="900"/>
      <c r="V16" s="900">
        <f>[1]Лист12!G300</f>
        <v>4800</v>
      </c>
      <c r="W16" s="900"/>
      <c r="X16" s="904">
        <f t="shared" ref="X16" si="1">42206072.04+11490000</f>
        <v>53696072.039999999</v>
      </c>
      <c r="Y16" s="900"/>
      <c r="Z16" s="900"/>
      <c r="AA16" s="900"/>
      <c r="AB16" s="886"/>
      <c r="AC16" s="38"/>
      <c r="AE16" s="38"/>
    </row>
    <row r="17" spans="1:29" ht="90">
      <c r="A17" s="351" t="s">
        <v>498</v>
      </c>
      <c r="B17" s="349">
        <v>1210</v>
      </c>
      <c r="C17" s="349">
        <v>130</v>
      </c>
      <c r="D17" s="353" t="s">
        <v>25</v>
      </c>
      <c r="E17" s="355">
        <f>67550971.76+2847304.62+9637802.08+1391058.2</f>
        <v>81427136.659999996</v>
      </c>
      <c r="F17" s="553"/>
      <c r="G17" s="553"/>
      <c r="H17" s="553"/>
      <c r="I17" s="553"/>
      <c r="J17" s="553"/>
      <c r="K17" s="553"/>
      <c r="L17" s="553"/>
      <c r="M17" s="553"/>
      <c r="N17" s="553"/>
      <c r="O17" s="553"/>
      <c r="P17" s="553"/>
      <c r="Q17" s="553"/>
      <c r="R17" s="553"/>
      <c r="S17" s="553"/>
      <c r="T17" s="355">
        <f>58820848.76+5178087.09+7352357.99</f>
        <v>71351293.840000004</v>
      </c>
      <c r="U17" s="354"/>
      <c r="V17" s="354">
        <f>[1]Лист12!G301</f>
        <v>46508233.899999999</v>
      </c>
      <c r="W17" s="354"/>
      <c r="X17" s="355">
        <f>47145616.41+17051839.58+7396547.29</f>
        <v>71594003.280000001</v>
      </c>
      <c r="Y17" s="354"/>
      <c r="Z17" s="354">
        <f>[1]Лист12!H301</f>
        <v>46636352.270000003</v>
      </c>
      <c r="AA17" s="354"/>
      <c r="AB17" s="350" t="s">
        <v>51</v>
      </c>
    </row>
    <row r="18" spans="1:29" s="120" customFormat="1" ht="30">
      <c r="A18" s="820" t="s">
        <v>939</v>
      </c>
      <c r="B18" s="818">
        <v>1230</v>
      </c>
      <c r="C18" s="818">
        <v>130</v>
      </c>
      <c r="D18" s="821" t="s">
        <v>25</v>
      </c>
      <c r="E18" s="823">
        <f>11866500+100000+100000+248850+53139.2+155000+155000+1296002+419135.5</f>
        <v>14393626.699999999</v>
      </c>
      <c r="F18" s="553"/>
      <c r="G18" s="553"/>
      <c r="H18" s="553"/>
      <c r="I18" s="553"/>
      <c r="J18" s="553"/>
      <c r="K18" s="553"/>
      <c r="L18" s="553"/>
      <c r="M18" s="553"/>
      <c r="N18" s="553"/>
      <c r="O18" s="553"/>
      <c r="P18" s="553"/>
      <c r="Q18" s="553"/>
      <c r="R18" s="553"/>
      <c r="S18" s="553"/>
      <c r="T18" s="823">
        <v>11866500</v>
      </c>
      <c r="U18" s="822"/>
      <c r="V18" s="822"/>
      <c r="W18" s="822"/>
      <c r="X18" s="823">
        <v>11866500</v>
      </c>
      <c r="Y18" s="822"/>
      <c r="Z18" s="822"/>
      <c r="AA18" s="822"/>
      <c r="AB18" s="819" t="s">
        <v>51</v>
      </c>
      <c r="AC18" s="38"/>
    </row>
    <row r="19" spans="1:29" ht="29.25" customHeight="1">
      <c r="A19" s="351" t="s">
        <v>53</v>
      </c>
      <c r="B19" s="349">
        <v>1300</v>
      </c>
      <c r="C19" s="349">
        <v>140</v>
      </c>
      <c r="D19" s="353" t="s">
        <v>25</v>
      </c>
      <c r="E19" s="355" t="s">
        <v>51</v>
      </c>
      <c r="F19" s="553"/>
      <c r="G19" s="553"/>
      <c r="H19" s="553"/>
      <c r="I19" s="553"/>
      <c r="J19" s="553"/>
      <c r="K19" s="553"/>
      <c r="L19" s="553"/>
      <c r="M19" s="553"/>
      <c r="N19" s="553"/>
      <c r="O19" s="553"/>
      <c r="P19" s="553"/>
      <c r="Q19" s="553"/>
      <c r="R19" s="553"/>
      <c r="S19" s="553"/>
      <c r="T19" s="355" t="s">
        <v>51</v>
      </c>
      <c r="U19" s="354"/>
      <c r="V19" s="354"/>
      <c r="W19" s="354"/>
      <c r="X19" s="355" t="s">
        <v>51</v>
      </c>
      <c r="Y19" s="354"/>
      <c r="Z19" s="354"/>
      <c r="AA19" s="354"/>
      <c r="AB19" s="350" t="s">
        <v>51</v>
      </c>
      <c r="AC19" s="38"/>
    </row>
    <row r="20" spans="1:29" ht="12" customHeight="1">
      <c r="A20" s="921" t="s">
        <v>30</v>
      </c>
      <c r="B20" s="885">
        <v>1310</v>
      </c>
      <c r="C20" s="885">
        <v>140</v>
      </c>
      <c r="D20" s="885" t="s">
        <v>25</v>
      </c>
      <c r="E20" s="902" t="s">
        <v>25</v>
      </c>
      <c r="F20" s="553"/>
      <c r="G20" s="553"/>
      <c r="H20" s="553"/>
      <c r="I20" s="553"/>
      <c r="J20" s="553"/>
      <c r="K20" s="553"/>
      <c r="L20" s="553"/>
      <c r="M20" s="553"/>
      <c r="N20" s="553"/>
      <c r="O20" s="553"/>
      <c r="P20" s="553"/>
      <c r="Q20" s="553"/>
      <c r="R20" s="553"/>
      <c r="S20" s="553"/>
      <c r="T20" s="904" t="s">
        <v>25</v>
      </c>
      <c r="U20" s="354"/>
      <c r="V20" s="354"/>
      <c r="W20" s="354"/>
      <c r="X20" s="904" t="s">
        <v>25</v>
      </c>
      <c r="Y20" s="354"/>
      <c r="Z20" s="354"/>
      <c r="AA20" s="354"/>
      <c r="AB20" s="886" t="s">
        <v>25</v>
      </c>
    </row>
    <row r="21" spans="1:29">
      <c r="A21" s="921"/>
      <c r="B21" s="885"/>
      <c r="C21" s="885"/>
      <c r="D21" s="885"/>
      <c r="E21" s="903"/>
      <c r="F21" s="553"/>
      <c r="G21" s="553"/>
      <c r="H21" s="553"/>
      <c r="I21" s="553"/>
      <c r="J21" s="553"/>
      <c r="K21" s="553"/>
      <c r="L21" s="553"/>
      <c r="M21" s="553"/>
      <c r="N21" s="553"/>
      <c r="O21" s="553"/>
      <c r="P21" s="553"/>
      <c r="Q21" s="553"/>
      <c r="R21" s="553"/>
      <c r="S21" s="553"/>
      <c r="T21" s="904"/>
      <c r="U21" s="354"/>
      <c r="V21" s="354"/>
      <c r="W21" s="354"/>
      <c r="X21" s="904"/>
      <c r="Y21" s="354"/>
      <c r="Z21" s="354"/>
      <c r="AA21" s="354"/>
      <c r="AB21" s="886"/>
      <c r="AC21" s="38"/>
    </row>
    <row r="22" spans="1:29" s="35" customFormat="1" ht="30">
      <c r="A22" s="365" t="s">
        <v>54</v>
      </c>
      <c r="B22" s="357">
        <v>1400</v>
      </c>
      <c r="C22" s="357">
        <v>150</v>
      </c>
      <c r="D22" s="358" t="s">
        <v>25</v>
      </c>
      <c r="E22" s="360">
        <f>E23+E32</f>
        <v>844702.75</v>
      </c>
      <c r="F22" s="520"/>
      <c r="G22" s="520"/>
      <c r="H22" s="520"/>
      <c r="I22" s="520"/>
      <c r="J22" s="520"/>
      <c r="K22" s="520"/>
      <c r="L22" s="520"/>
      <c r="M22" s="520"/>
      <c r="N22" s="520"/>
      <c r="O22" s="520"/>
      <c r="P22" s="520"/>
      <c r="Q22" s="520"/>
      <c r="R22" s="520"/>
      <c r="S22" s="520"/>
      <c r="T22" s="360">
        <f>T23</f>
        <v>0</v>
      </c>
      <c r="U22" s="362"/>
      <c r="V22" s="362"/>
      <c r="W22" s="362"/>
      <c r="X22" s="360">
        <f>X23</f>
        <v>0</v>
      </c>
      <c r="Y22" s="362"/>
      <c r="Z22" s="362"/>
      <c r="AA22" s="362"/>
      <c r="AB22" s="359" t="s">
        <v>51</v>
      </c>
      <c r="AC22" s="876"/>
    </row>
    <row r="23" spans="1:29" ht="30" customHeight="1">
      <c r="A23" s="351" t="s">
        <v>499</v>
      </c>
      <c r="B23" s="349">
        <v>1410</v>
      </c>
      <c r="C23" s="349">
        <v>150</v>
      </c>
      <c r="D23" s="353" t="s">
        <v>25</v>
      </c>
      <c r="E23" s="355">
        <f>370000+300000+145000</f>
        <v>815000</v>
      </c>
      <c r="F23" s="553"/>
      <c r="G23" s="553"/>
      <c r="H23" s="553"/>
      <c r="I23" s="553"/>
      <c r="J23" s="553"/>
      <c r="K23" s="553"/>
      <c r="L23" s="553"/>
      <c r="M23" s="553"/>
      <c r="N23" s="553"/>
      <c r="O23" s="553"/>
      <c r="P23" s="553"/>
      <c r="Q23" s="553"/>
      <c r="R23" s="553"/>
      <c r="S23" s="553"/>
      <c r="T23" s="355">
        <v>0</v>
      </c>
      <c r="U23" s="354"/>
      <c r="V23" s="354"/>
      <c r="W23" s="354"/>
      <c r="X23" s="355">
        <v>0</v>
      </c>
      <c r="Y23" s="354"/>
      <c r="Z23" s="354"/>
      <c r="AA23" s="354"/>
      <c r="AB23" s="350" t="s">
        <v>51</v>
      </c>
      <c r="AC23" s="38"/>
    </row>
    <row r="24" spans="1:29" ht="31.5" customHeight="1">
      <c r="A24" s="351" t="s">
        <v>55</v>
      </c>
      <c r="B24" s="349">
        <v>1420</v>
      </c>
      <c r="C24" s="349">
        <v>150</v>
      </c>
      <c r="D24" s="353" t="s">
        <v>25</v>
      </c>
      <c r="E24" s="350" t="s">
        <v>51</v>
      </c>
      <c r="F24" s="554"/>
      <c r="G24" s="554"/>
      <c r="H24" s="554"/>
      <c r="I24" s="554"/>
      <c r="J24" s="554"/>
      <c r="K24" s="554"/>
      <c r="L24" s="554"/>
      <c r="M24" s="554"/>
      <c r="N24" s="554"/>
      <c r="O24" s="554"/>
      <c r="P24" s="554"/>
      <c r="Q24" s="554"/>
      <c r="R24" s="554"/>
      <c r="S24" s="554"/>
      <c r="T24" s="350" t="s">
        <v>51</v>
      </c>
      <c r="U24" s="350" t="s">
        <v>51</v>
      </c>
      <c r="V24" s="350" t="s">
        <v>51</v>
      </c>
      <c r="W24" s="350" t="s">
        <v>51</v>
      </c>
      <c r="X24" s="350" t="s">
        <v>51</v>
      </c>
      <c r="Y24" s="350" t="s">
        <v>51</v>
      </c>
      <c r="Z24" s="350" t="s">
        <v>51</v>
      </c>
      <c r="AA24" s="350" t="s">
        <v>51</v>
      </c>
      <c r="AB24" s="350" t="s">
        <v>51</v>
      </c>
      <c r="AC24" s="38"/>
    </row>
    <row r="25" spans="1:29">
      <c r="A25" s="921" t="s">
        <v>56</v>
      </c>
      <c r="B25" s="885">
        <v>1500</v>
      </c>
      <c r="C25" s="885">
        <v>180</v>
      </c>
      <c r="D25" s="885" t="s">
        <v>25</v>
      </c>
      <c r="E25" s="902" t="s">
        <v>51</v>
      </c>
      <c r="F25" s="553"/>
      <c r="G25" s="553"/>
      <c r="H25" s="553"/>
      <c r="I25" s="553"/>
      <c r="J25" s="553"/>
      <c r="K25" s="553"/>
      <c r="L25" s="553"/>
      <c r="M25" s="553"/>
      <c r="N25" s="553"/>
      <c r="O25" s="553"/>
      <c r="P25" s="553"/>
      <c r="Q25" s="553"/>
      <c r="R25" s="553"/>
      <c r="S25" s="553"/>
      <c r="T25" s="904" t="s">
        <v>51</v>
      </c>
      <c r="U25" s="900"/>
      <c r="V25" s="900"/>
      <c r="W25" s="900"/>
      <c r="X25" s="904" t="s">
        <v>51</v>
      </c>
      <c r="Y25" s="900"/>
      <c r="Z25" s="900"/>
      <c r="AA25" s="900">
        <f>[1]Лист12!H300</f>
        <v>7200</v>
      </c>
      <c r="AB25" s="886" t="s">
        <v>51</v>
      </c>
      <c r="AC25" s="38"/>
    </row>
    <row r="26" spans="1:29" ht="8.25" customHeight="1">
      <c r="A26" s="921"/>
      <c r="B26" s="885"/>
      <c r="C26" s="885"/>
      <c r="D26" s="885"/>
      <c r="E26" s="915"/>
      <c r="F26" s="553"/>
      <c r="G26" s="553"/>
      <c r="H26" s="553"/>
      <c r="I26" s="553"/>
      <c r="J26" s="553"/>
      <c r="K26" s="553"/>
      <c r="L26" s="553"/>
      <c r="M26" s="553"/>
      <c r="N26" s="553"/>
      <c r="O26" s="553"/>
      <c r="P26" s="553"/>
      <c r="Q26" s="553"/>
      <c r="R26" s="553"/>
      <c r="S26" s="553"/>
      <c r="T26" s="904"/>
      <c r="U26" s="900"/>
      <c r="V26" s="900"/>
      <c r="W26" s="900"/>
      <c r="X26" s="904"/>
      <c r="Y26" s="900"/>
      <c r="Z26" s="900"/>
      <c r="AA26" s="900"/>
      <c r="AB26" s="886"/>
    </row>
    <row r="27" spans="1:29" ht="23.25" customHeight="1">
      <c r="A27" s="921"/>
      <c r="B27" s="885"/>
      <c r="C27" s="885"/>
      <c r="D27" s="885"/>
      <c r="E27" s="903"/>
      <c r="F27" s="553"/>
      <c r="G27" s="553"/>
      <c r="H27" s="553"/>
      <c r="I27" s="553"/>
      <c r="J27" s="553"/>
      <c r="K27" s="553"/>
      <c r="L27" s="553"/>
      <c r="M27" s="553"/>
      <c r="N27" s="553"/>
      <c r="O27" s="553"/>
      <c r="P27" s="553"/>
      <c r="Q27" s="553"/>
      <c r="R27" s="553"/>
      <c r="S27" s="553"/>
      <c r="T27" s="904"/>
      <c r="U27" s="900"/>
      <c r="V27" s="900"/>
      <c r="W27" s="900"/>
      <c r="X27" s="904"/>
      <c r="Y27" s="900"/>
      <c r="Z27" s="900"/>
      <c r="AA27" s="900"/>
      <c r="AB27" s="886"/>
    </row>
    <row r="28" spans="1:29" ht="14.25" customHeight="1">
      <c r="A28" s="884" t="s">
        <v>500</v>
      </c>
      <c r="B28" s="885">
        <v>1900</v>
      </c>
      <c r="C28" s="885" t="s">
        <v>25</v>
      </c>
      <c r="D28" s="885" t="s">
        <v>25</v>
      </c>
      <c r="E28" s="902">
        <v>0</v>
      </c>
      <c r="F28" s="555"/>
      <c r="G28" s="555"/>
      <c r="H28" s="555"/>
      <c r="I28" s="555"/>
      <c r="J28" s="555"/>
      <c r="K28" s="555"/>
      <c r="L28" s="555"/>
      <c r="M28" s="555"/>
      <c r="N28" s="555"/>
      <c r="O28" s="555"/>
      <c r="P28" s="555"/>
      <c r="Q28" s="555"/>
      <c r="R28" s="555"/>
      <c r="S28" s="555"/>
      <c r="T28" s="902">
        <f>T36</f>
        <v>0</v>
      </c>
      <c r="U28" s="367"/>
      <c r="V28" s="367"/>
      <c r="W28" s="367"/>
      <c r="X28" s="902">
        <f>X36</f>
        <v>0</v>
      </c>
      <c r="Y28" s="367"/>
      <c r="Z28" s="367"/>
      <c r="AA28" s="367"/>
      <c r="AB28" s="886" t="s">
        <v>51</v>
      </c>
    </row>
    <row r="29" spans="1:29" ht="15.75" customHeight="1">
      <c r="A29" s="884"/>
      <c r="B29" s="885"/>
      <c r="C29" s="885"/>
      <c r="D29" s="885"/>
      <c r="E29" s="903"/>
      <c r="F29" s="547"/>
      <c r="G29" s="547"/>
      <c r="H29" s="547"/>
      <c r="I29" s="547"/>
      <c r="J29" s="547"/>
      <c r="K29" s="547"/>
      <c r="L29" s="547"/>
      <c r="M29" s="547"/>
      <c r="N29" s="547"/>
      <c r="O29" s="547"/>
      <c r="P29" s="547"/>
      <c r="Q29" s="547"/>
      <c r="R29" s="547"/>
      <c r="S29" s="547"/>
      <c r="T29" s="903"/>
      <c r="U29" s="367"/>
      <c r="V29" s="367"/>
      <c r="W29" s="367"/>
      <c r="X29" s="903"/>
      <c r="Y29" s="367"/>
      <c r="Z29" s="367"/>
      <c r="AA29" s="367"/>
      <c r="AB29" s="886"/>
    </row>
    <row r="30" spans="1:29" ht="13.5" customHeight="1">
      <c r="A30" s="884" t="s">
        <v>30</v>
      </c>
      <c r="B30" s="885"/>
      <c r="C30" s="885"/>
      <c r="D30" s="885"/>
      <c r="E30" s="896"/>
      <c r="F30" s="555"/>
      <c r="G30" s="555"/>
      <c r="H30" s="555"/>
      <c r="I30" s="555"/>
      <c r="J30" s="555"/>
      <c r="K30" s="555"/>
      <c r="L30" s="555"/>
      <c r="M30" s="555"/>
      <c r="N30" s="555"/>
      <c r="O30" s="555"/>
      <c r="P30" s="555"/>
      <c r="Q30" s="555"/>
      <c r="R30" s="555"/>
      <c r="S30" s="555"/>
      <c r="T30" s="896"/>
      <c r="U30" s="367"/>
      <c r="V30" s="367"/>
      <c r="W30" s="367"/>
      <c r="X30" s="896"/>
      <c r="Y30" s="367"/>
      <c r="Z30" s="367"/>
      <c r="AA30" s="367"/>
      <c r="AB30" s="886"/>
    </row>
    <row r="31" spans="1:29" ht="19.5" customHeight="1">
      <c r="A31" s="884"/>
      <c r="B31" s="885"/>
      <c r="C31" s="885"/>
      <c r="D31" s="885"/>
      <c r="E31" s="897"/>
      <c r="F31" s="547"/>
      <c r="G31" s="547"/>
      <c r="H31" s="547"/>
      <c r="I31" s="547"/>
      <c r="J31" s="547"/>
      <c r="K31" s="547"/>
      <c r="L31" s="547"/>
      <c r="M31" s="547"/>
      <c r="N31" s="547"/>
      <c r="O31" s="547"/>
      <c r="P31" s="547"/>
      <c r="Q31" s="547"/>
      <c r="R31" s="547"/>
      <c r="S31" s="547"/>
      <c r="T31" s="897"/>
      <c r="U31" s="367"/>
      <c r="V31" s="367"/>
      <c r="W31" s="367"/>
      <c r="X31" s="897"/>
      <c r="Y31" s="367"/>
      <c r="Z31" s="367"/>
      <c r="AA31" s="367"/>
      <c r="AB31" s="886"/>
    </row>
    <row r="32" spans="1:29" ht="19.5" customHeight="1">
      <c r="A32" s="921" t="s">
        <v>57</v>
      </c>
      <c r="B32" s="885">
        <v>1980</v>
      </c>
      <c r="C32" s="885">
        <v>510</v>
      </c>
      <c r="D32" s="885" t="s">
        <v>25</v>
      </c>
      <c r="E32" s="902">
        <v>29702.75</v>
      </c>
      <c r="F32" s="555"/>
      <c r="G32" s="555"/>
      <c r="H32" s="555"/>
      <c r="I32" s="555"/>
      <c r="J32" s="555"/>
      <c r="K32" s="555"/>
      <c r="L32" s="555"/>
      <c r="M32" s="555"/>
      <c r="N32" s="555"/>
      <c r="O32" s="555"/>
      <c r="P32" s="555"/>
      <c r="Q32" s="555"/>
      <c r="R32" s="555"/>
      <c r="S32" s="555"/>
      <c r="T32" s="902">
        <f>T36</f>
        <v>0</v>
      </c>
      <c r="U32" s="367"/>
      <c r="V32" s="367"/>
      <c r="W32" s="367"/>
      <c r="X32" s="902">
        <f>X36</f>
        <v>0</v>
      </c>
      <c r="Y32" s="367"/>
      <c r="Z32" s="367"/>
      <c r="AA32" s="367"/>
      <c r="AB32" s="886" t="s">
        <v>51</v>
      </c>
    </row>
    <row r="33" spans="1:31" ht="10.5" customHeight="1">
      <c r="A33" s="921"/>
      <c r="B33" s="885"/>
      <c r="C33" s="885"/>
      <c r="D33" s="885"/>
      <c r="E33" s="915"/>
      <c r="F33" s="556"/>
      <c r="G33" s="556"/>
      <c r="H33" s="556"/>
      <c r="I33" s="556"/>
      <c r="J33" s="556"/>
      <c r="K33" s="556"/>
      <c r="L33" s="556"/>
      <c r="M33" s="556"/>
      <c r="N33" s="556"/>
      <c r="O33" s="556"/>
      <c r="P33" s="556"/>
      <c r="Q33" s="556"/>
      <c r="R33" s="556"/>
      <c r="S33" s="556"/>
      <c r="T33" s="915"/>
      <c r="U33" s="367"/>
      <c r="V33" s="367"/>
      <c r="W33" s="367"/>
      <c r="X33" s="915"/>
      <c r="Y33" s="367"/>
      <c r="Z33" s="367"/>
      <c r="AA33" s="367"/>
      <c r="AB33" s="886"/>
    </row>
    <row r="34" spans="1:31" ht="8.25" customHeight="1">
      <c r="A34" s="921"/>
      <c r="B34" s="885"/>
      <c r="C34" s="885"/>
      <c r="D34" s="885"/>
      <c r="E34" s="903"/>
      <c r="F34" s="547"/>
      <c r="G34" s="547"/>
      <c r="H34" s="547"/>
      <c r="I34" s="547"/>
      <c r="J34" s="547"/>
      <c r="K34" s="547"/>
      <c r="L34" s="547"/>
      <c r="M34" s="547"/>
      <c r="N34" s="547"/>
      <c r="O34" s="547"/>
      <c r="P34" s="547"/>
      <c r="Q34" s="547"/>
      <c r="R34" s="547"/>
      <c r="S34" s="547"/>
      <c r="T34" s="903"/>
      <c r="U34" s="367"/>
      <c r="V34" s="367"/>
      <c r="W34" s="367"/>
      <c r="X34" s="903"/>
      <c r="Y34" s="367"/>
      <c r="Z34" s="367"/>
      <c r="AA34" s="367"/>
      <c r="AB34" s="886"/>
    </row>
    <row r="35" spans="1:31" s="196" customFormat="1" hidden="1">
      <c r="A35" s="191" t="s">
        <v>58</v>
      </c>
      <c r="B35" s="214" t="s">
        <v>25</v>
      </c>
      <c r="C35" s="192" t="s">
        <v>25</v>
      </c>
      <c r="D35" s="192" t="s">
        <v>25</v>
      </c>
      <c r="E35" s="192" t="s">
        <v>25</v>
      </c>
      <c r="F35" s="546"/>
      <c r="G35" s="546"/>
      <c r="H35" s="546"/>
      <c r="I35" s="546"/>
      <c r="J35" s="546"/>
      <c r="K35" s="546"/>
      <c r="L35" s="546"/>
      <c r="M35" s="546"/>
      <c r="N35" s="546"/>
      <c r="O35" s="546"/>
      <c r="P35" s="546"/>
      <c r="Q35" s="546"/>
      <c r="R35" s="546"/>
      <c r="S35" s="546"/>
      <c r="T35" s="192" t="s">
        <v>25</v>
      </c>
      <c r="U35" s="213"/>
      <c r="V35" s="213"/>
      <c r="W35" s="213"/>
      <c r="X35" s="192" t="s">
        <v>25</v>
      </c>
      <c r="Y35" s="213"/>
      <c r="Z35" s="213"/>
      <c r="AA35" s="213"/>
      <c r="AB35" s="195" t="s">
        <v>25</v>
      </c>
    </row>
    <row r="36" spans="1:31" ht="60" hidden="1">
      <c r="A36" s="185" t="s">
        <v>512</v>
      </c>
      <c r="B36" s="186">
        <v>1981</v>
      </c>
      <c r="C36" s="186">
        <v>510</v>
      </c>
      <c r="D36" s="186" t="s">
        <v>25</v>
      </c>
      <c r="E36" s="187">
        <v>22833.85</v>
      </c>
      <c r="F36" s="546"/>
      <c r="G36" s="546"/>
      <c r="H36" s="546"/>
      <c r="I36" s="546"/>
      <c r="J36" s="546"/>
      <c r="K36" s="546"/>
      <c r="L36" s="546"/>
      <c r="M36" s="546"/>
      <c r="N36" s="546"/>
      <c r="O36" s="546"/>
      <c r="P36" s="546"/>
      <c r="Q36" s="546"/>
      <c r="R36" s="546"/>
      <c r="S36" s="546"/>
      <c r="T36" s="189">
        <v>0</v>
      </c>
      <c r="U36" s="190"/>
      <c r="V36" s="190"/>
      <c r="W36" s="190"/>
      <c r="X36" s="189">
        <v>0</v>
      </c>
      <c r="Y36" s="188"/>
      <c r="Z36" s="188"/>
      <c r="AA36" s="188"/>
      <c r="AB36" s="189" t="s">
        <v>51</v>
      </c>
    </row>
    <row r="37" spans="1:31" ht="46.5" hidden="1" customHeight="1">
      <c r="A37" s="185" t="s">
        <v>59</v>
      </c>
      <c r="B37" s="186">
        <v>1982</v>
      </c>
      <c r="C37" s="186">
        <v>510</v>
      </c>
      <c r="D37" s="186" t="s">
        <v>25</v>
      </c>
      <c r="E37" s="186" t="s">
        <v>51</v>
      </c>
      <c r="F37" s="546"/>
      <c r="G37" s="546"/>
      <c r="H37" s="546"/>
      <c r="I37" s="546"/>
      <c r="J37" s="546"/>
      <c r="K37" s="546"/>
      <c r="L37" s="546"/>
      <c r="M37" s="546"/>
      <c r="N37" s="546"/>
      <c r="O37" s="546"/>
      <c r="P37" s="546"/>
      <c r="Q37" s="546"/>
      <c r="R37" s="546"/>
      <c r="S37" s="546"/>
      <c r="T37" s="186" t="s">
        <v>51</v>
      </c>
      <c r="U37" s="188"/>
      <c r="V37" s="188"/>
      <c r="W37" s="188"/>
      <c r="X37" s="186" t="s">
        <v>51</v>
      </c>
      <c r="Y37" s="188"/>
      <c r="Z37" s="188"/>
      <c r="AA37" s="188"/>
      <c r="AB37" s="189" t="s">
        <v>51</v>
      </c>
      <c r="AC37" s="38"/>
    </row>
    <row r="38" spans="1:31" s="35" customFormat="1">
      <c r="A38" s="922" t="s">
        <v>31</v>
      </c>
      <c r="B38" s="908">
        <v>2000</v>
      </c>
      <c r="C38" s="908" t="s">
        <v>25</v>
      </c>
      <c r="D38" s="908" t="s">
        <v>25</v>
      </c>
      <c r="E38" s="925">
        <f>E40+E71+E95</f>
        <v>97260582.650000006</v>
      </c>
      <c r="F38" s="521"/>
      <c r="G38" s="521"/>
      <c r="H38" s="521"/>
      <c r="I38" s="521"/>
      <c r="J38" s="521"/>
      <c r="K38" s="521"/>
      <c r="L38" s="521"/>
      <c r="M38" s="521"/>
      <c r="N38" s="521"/>
      <c r="O38" s="521"/>
      <c r="P38" s="521"/>
      <c r="Q38" s="521"/>
      <c r="R38" s="521"/>
      <c r="S38" s="521"/>
      <c r="T38" s="927">
        <f>T40+T71+T95</f>
        <v>83217793.840000004</v>
      </c>
      <c r="U38" s="927">
        <f>U40+U71+U95</f>
        <v>32940680.120000001</v>
      </c>
      <c r="V38" s="927">
        <f>V40+V71+V95</f>
        <v>42017660.240000002</v>
      </c>
      <c r="W38" s="927">
        <f>W40+W71+W95</f>
        <v>30798800.93</v>
      </c>
      <c r="X38" s="927">
        <f>X40+X71+X95</f>
        <v>83460503.280000001</v>
      </c>
      <c r="Y38" s="923" t="e">
        <f>Y40+Y62+Y71+#REF!+Y80</f>
        <v>#REF!</v>
      </c>
      <c r="Z38" s="923" t="e">
        <f>Z40+Z62+Z71+#REF!+Z80</f>
        <v>#REF!</v>
      </c>
      <c r="AA38" s="923" t="e">
        <f>AA40+AA62+AA71+#REF!+AA80</f>
        <v>#REF!</v>
      </c>
      <c r="AB38" s="920" t="s">
        <v>51</v>
      </c>
      <c r="AC38" s="876">
        <f>E38-E11</f>
        <v>595116.54</v>
      </c>
      <c r="AD38" s="876">
        <f>T38-T11</f>
        <v>0</v>
      </c>
      <c r="AE38" s="876">
        <f>X38-X11</f>
        <v>0</v>
      </c>
    </row>
    <row r="39" spans="1:31" s="35" customFormat="1">
      <c r="A39" s="922"/>
      <c r="B39" s="908"/>
      <c r="C39" s="908"/>
      <c r="D39" s="908"/>
      <c r="E39" s="926"/>
      <c r="F39" s="522"/>
      <c r="G39" s="522"/>
      <c r="H39" s="522"/>
      <c r="I39" s="522"/>
      <c r="J39" s="522"/>
      <c r="K39" s="522"/>
      <c r="L39" s="522"/>
      <c r="M39" s="522"/>
      <c r="N39" s="522"/>
      <c r="O39" s="522"/>
      <c r="P39" s="522"/>
      <c r="Q39" s="522"/>
      <c r="R39" s="522"/>
      <c r="S39" s="522"/>
      <c r="T39" s="908"/>
      <c r="U39" s="908"/>
      <c r="V39" s="908"/>
      <c r="W39" s="908"/>
      <c r="X39" s="908"/>
      <c r="Y39" s="924"/>
      <c r="Z39" s="924"/>
      <c r="AA39" s="924"/>
      <c r="AB39" s="920"/>
    </row>
    <row r="40" spans="1:31" s="35" customFormat="1">
      <c r="A40" s="922" t="s">
        <v>501</v>
      </c>
      <c r="B40" s="908">
        <v>2100</v>
      </c>
      <c r="C40" s="908" t="s">
        <v>25</v>
      </c>
      <c r="D40" s="908" t="s">
        <v>25</v>
      </c>
      <c r="E40" s="910">
        <f>E43+E47+E56</f>
        <v>72424951.620000005</v>
      </c>
      <c r="F40" s="523"/>
      <c r="G40" s="523"/>
      <c r="H40" s="523"/>
      <c r="I40" s="523"/>
      <c r="J40" s="523"/>
      <c r="K40" s="523"/>
      <c r="L40" s="523"/>
      <c r="M40" s="523"/>
      <c r="N40" s="523"/>
      <c r="O40" s="523"/>
      <c r="P40" s="523"/>
      <c r="Q40" s="523"/>
      <c r="R40" s="523"/>
      <c r="S40" s="523"/>
      <c r="T40" s="912">
        <f>T43+T47+T56</f>
        <v>66755883.219999999</v>
      </c>
      <c r="U40" s="912">
        <f>U43+U47+U56</f>
        <v>32913410.559999999</v>
      </c>
      <c r="V40" s="912">
        <f>V43+V47+V56</f>
        <v>37800906.619999997</v>
      </c>
      <c r="W40" s="912">
        <f>W43+W47+W56</f>
        <v>30779099.93</v>
      </c>
      <c r="X40" s="912">
        <f>X43+X47+X56</f>
        <v>66763225.560000002</v>
      </c>
      <c r="Y40" s="912">
        <f>Y43+Y45+Y46+Y47+Y56</f>
        <v>7911517.0099999998</v>
      </c>
      <c r="Z40" s="912">
        <f>Z43+Z45+Z46+Z47+Z56</f>
        <v>36435442.5</v>
      </c>
      <c r="AA40" s="912">
        <f>AA43+AA45+AA46+AA47+AA56</f>
        <v>7200</v>
      </c>
      <c r="AB40" s="920" t="s">
        <v>51</v>
      </c>
    </row>
    <row r="41" spans="1:31" s="35" customFormat="1">
      <c r="A41" s="922"/>
      <c r="B41" s="908"/>
      <c r="C41" s="908"/>
      <c r="D41" s="908"/>
      <c r="E41" s="911"/>
      <c r="F41" s="522"/>
      <c r="G41" s="522"/>
      <c r="H41" s="522"/>
      <c r="I41" s="522"/>
      <c r="J41" s="522"/>
      <c r="K41" s="522"/>
      <c r="L41" s="522"/>
      <c r="M41" s="522"/>
      <c r="N41" s="522"/>
      <c r="O41" s="522"/>
      <c r="P41" s="522"/>
      <c r="Q41" s="522"/>
      <c r="R41" s="522"/>
      <c r="S41" s="522"/>
      <c r="T41" s="908"/>
      <c r="U41" s="908"/>
      <c r="V41" s="908"/>
      <c r="W41" s="908"/>
      <c r="X41" s="908"/>
      <c r="Y41" s="908"/>
      <c r="Z41" s="908"/>
      <c r="AA41" s="908"/>
      <c r="AB41" s="920"/>
    </row>
    <row r="42" spans="1:31" s="196" customFormat="1" hidden="1">
      <c r="A42" s="191" t="s">
        <v>30</v>
      </c>
      <c r="B42" s="192" t="s">
        <v>25</v>
      </c>
      <c r="C42" s="192" t="s">
        <v>25</v>
      </c>
      <c r="D42" s="192" t="s">
        <v>25</v>
      </c>
      <c r="E42" s="192" t="s">
        <v>25</v>
      </c>
      <c r="F42" s="561"/>
      <c r="G42" s="561"/>
      <c r="H42" s="561"/>
      <c r="I42" s="561"/>
      <c r="J42" s="561"/>
      <c r="K42" s="561"/>
      <c r="L42" s="561"/>
      <c r="M42" s="561"/>
      <c r="N42" s="561"/>
      <c r="O42" s="561"/>
      <c r="P42" s="561"/>
      <c r="Q42" s="561"/>
      <c r="R42" s="561"/>
      <c r="S42" s="561"/>
      <c r="T42" s="192" t="s">
        <v>25</v>
      </c>
      <c r="U42" s="213"/>
      <c r="V42" s="213"/>
      <c r="W42" s="213"/>
      <c r="X42" s="192" t="s">
        <v>25</v>
      </c>
      <c r="Y42" s="213"/>
      <c r="Z42" s="213"/>
      <c r="AA42" s="213"/>
      <c r="AB42" s="195" t="s">
        <v>25</v>
      </c>
    </row>
    <row r="43" spans="1:31" s="35" customFormat="1">
      <c r="A43" s="922" t="s">
        <v>511</v>
      </c>
      <c r="B43" s="907">
        <v>2110</v>
      </c>
      <c r="C43" s="908">
        <v>111</v>
      </c>
      <c r="D43" s="909" t="s">
        <v>526</v>
      </c>
      <c r="E43" s="910">
        <f>E45+E46</f>
        <v>52382830.329999998</v>
      </c>
      <c r="F43" s="520"/>
      <c r="G43" s="520"/>
      <c r="H43" s="520"/>
      <c r="I43" s="520"/>
      <c r="J43" s="520"/>
      <c r="K43" s="520"/>
      <c r="L43" s="520"/>
      <c r="M43" s="520"/>
      <c r="N43" s="520"/>
      <c r="O43" s="520"/>
      <c r="P43" s="520"/>
      <c r="Q43" s="520"/>
      <c r="R43" s="520"/>
      <c r="S43" s="520"/>
      <c r="T43" s="912">
        <f>T45+T46</f>
        <v>49848760.740000002</v>
      </c>
      <c r="U43" s="912">
        <f>U45+U46</f>
        <v>29314701.91</v>
      </c>
      <c r="V43" s="912">
        <f>V45+V46</f>
        <v>28424163.699999999</v>
      </c>
      <c r="W43" s="912">
        <f>W45+W46</f>
        <v>29649271.91</v>
      </c>
      <c r="X43" s="912">
        <f>X45+X46</f>
        <v>50102707.119999997</v>
      </c>
      <c r="Y43" s="913">
        <f>[1]Лист5!N79</f>
        <v>5207036.58</v>
      </c>
      <c r="Z43" s="913">
        <f>[1]Лист5!N57</f>
        <v>27124887.949999999</v>
      </c>
      <c r="AA43" s="913">
        <v>0</v>
      </c>
      <c r="AB43" s="920" t="s">
        <v>51</v>
      </c>
    </row>
    <row r="44" spans="1:31" s="35" customFormat="1" ht="13.5" customHeight="1">
      <c r="A44" s="922"/>
      <c r="B44" s="907"/>
      <c r="C44" s="908"/>
      <c r="D44" s="909"/>
      <c r="E44" s="911"/>
      <c r="F44" s="520"/>
      <c r="G44" s="520"/>
      <c r="H44" s="520"/>
      <c r="I44" s="520"/>
      <c r="J44" s="520"/>
      <c r="K44" s="520"/>
      <c r="L44" s="520"/>
      <c r="M44" s="520"/>
      <c r="N44" s="520"/>
      <c r="O44" s="520"/>
      <c r="P44" s="520"/>
      <c r="Q44" s="520"/>
      <c r="R44" s="520"/>
      <c r="S44" s="520"/>
      <c r="T44" s="912"/>
      <c r="U44" s="912"/>
      <c r="V44" s="912"/>
      <c r="W44" s="912"/>
      <c r="X44" s="912"/>
      <c r="Y44" s="913"/>
      <c r="Z44" s="913"/>
      <c r="AA44" s="913"/>
      <c r="AB44" s="920"/>
    </row>
    <row r="45" spans="1:31" s="150" customFormat="1" ht="25.5" hidden="1" customHeight="1">
      <c r="A45" s="235" t="s">
        <v>497</v>
      </c>
      <c r="B45" s="228">
        <v>2111</v>
      </c>
      <c r="C45" s="236">
        <v>111</v>
      </c>
      <c r="D45" s="236">
        <v>211</v>
      </c>
      <c r="E45" s="243">
        <f>67000+41735046.03+122820.69+444138.9+109335.46+2186869.91+6832256.63-19580-3650+244087.88+519163.35+585897.85-455401.79-139595.33</f>
        <v>52228389.579999998</v>
      </c>
      <c r="F45" s="520">
        <f>G45+H45</f>
        <v>890702</v>
      </c>
      <c r="G45" s="520">
        <v>890702</v>
      </c>
      <c r="H45" s="520">
        <v>0</v>
      </c>
      <c r="I45" s="520">
        <f>J45+K45</f>
        <v>378881.48</v>
      </c>
      <c r="J45" s="520">
        <v>6000</v>
      </c>
      <c r="K45" s="520">
        <v>372881.48</v>
      </c>
      <c r="L45" s="520"/>
      <c r="M45" s="520"/>
      <c r="N45" s="520"/>
      <c r="O45" s="520"/>
      <c r="P45" s="520"/>
      <c r="Q45" s="520"/>
      <c r="R45" s="520"/>
      <c r="S45" s="520"/>
      <c r="T45" s="243">
        <f>29800+40107762.99+7200+3977025.41+5646972.34</f>
        <v>49768760.740000002</v>
      </c>
      <c r="U45" s="244">
        <v>29228901.91</v>
      </c>
      <c r="V45" s="244">
        <v>28338363.699999999</v>
      </c>
      <c r="W45" s="244">
        <v>29563471.91</v>
      </c>
      <c r="X45" s="243">
        <f>32000+31213144.24+13096650.98+5680911.9</f>
        <v>50022707.119999997</v>
      </c>
      <c r="Y45" s="244">
        <v>3000</v>
      </c>
      <c r="Z45" s="244">
        <v>94000</v>
      </c>
      <c r="AA45" s="244">
        <v>0</v>
      </c>
      <c r="AB45" s="240" t="s">
        <v>51</v>
      </c>
    </row>
    <row r="46" spans="1:31" s="150" customFormat="1" ht="30" hidden="1">
      <c r="A46" s="235" t="s">
        <v>60</v>
      </c>
      <c r="B46" s="228">
        <v>2112</v>
      </c>
      <c r="C46" s="236">
        <v>111</v>
      </c>
      <c r="D46" s="236">
        <v>266</v>
      </c>
      <c r="E46" s="243">
        <f>80000+10000+20621.13+40000+13349.46-13.49-9516.35</f>
        <v>154440.75</v>
      </c>
      <c r="F46" s="520"/>
      <c r="G46" s="520"/>
      <c r="H46" s="520"/>
      <c r="I46" s="520"/>
      <c r="J46" s="520"/>
      <c r="K46" s="520"/>
      <c r="L46" s="520"/>
      <c r="M46" s="520"/>
      <c r="N46" s="520"/>
      <c r="O46" s="520"/>
      <c r="P46" s="520"/>
      <c r="Q46" s="520"/>
      <c r="R46" s="520"/>
      <c r="S46" s="520"/>
      <c r="T46" s="243">
        <f>80000</f>
        <v>80000</v>
      </c>
      <c r="U46" s="244">
        <v>85800</v>
      </c>
      <c r="V46" s="244">
        <v>85800</v>
      </c>
      <c r="W46" s="244">
        <v>85800</v>
      </c>
      <c r="X46" s="243">
        <f>80000</f>
        <v>80000</v>
      </c>
      <c r="Y46" s="244">
        <v>19800</v>
      </c>
      <c r="Z46" s="244">
        <v>19800</v>
      </c>
      <c r="AA46" s="244"/>
      <c r="AB46" s="240" t="s">
        <v>51</v>
      </c>
    </row>
    <row r="47" spans="1:31" s="35" customFormat="1">
      <c r="A47" s="922" t="s">
        <v>61</v>
      </c>
      <c r="B47" s="908">
        <v>2120</v>
      </c>
      <c r="C47" s="908">
        <v>112</v>
      </c>
      <c r="D47" s="909" t="s">
        <v>525</v>
      </c>
      <c r="E47" s="910">
        <f>E50+E51+E52+E53</f>
        <v>1903879.46</v>
      </c>
      <c r="F47" s="520"/>
      <c r="G47" s="520"/>
      <c r="H47" s="520"/>
      <c r="I47" s="520"/>
      <c r="J47" s="520"/>
      <c r="K47" s="520"/>
      <c r="L47" s="520"/>
      <c r="M47" s="520"/>
      <c r="N47" s="520"/>
      <c r="O47" s="520"/>
      <c r="P47" s="520"/>
      <c r="Q47" s="520"/>
      <c r="R47" s="520"/>
      <c r="S47" s="520"/>
      <c r="T47" s="912">
        <f t="shared" ref="T47:X47" si="2">SUM(T50:T53)</f>
        <v>1951384.25</v>
      </c>
      <c r="U47" s="913">
        <f t="shared" si="2"/>
        <v>2147794.96</v>
      </c>
      <c r="V47" s="913">
        <f t="shared" si="2"/>
        <v>1200650.48</v>
      </c>
      <c r="W47" s="913">
        <f t="shared" si="2"/>
        <v>1129828.02</v>
      </c>
      <c r="X47" s="912">
        <f t="shared" si="2"/>
        <v>1597200.93</v>
      </c>
      <c r="Y47" s="912">
        <f>SUM(Y50:Y53)</f>
        <v>1148378</v>
      </c>
      <c r="Z47" s="912">
        <f t="shared" ref="Z47:AA47" si="3">SUM(Z50:Z53)</f>
        <v>1062272.75</v>
      </c>
      <c r="AA47" s="912">
        <f t="shared" si="3"/>
        <v>7200</v>
      </c>
      <c r="AB47" s="920" t="s">
        <v>51</v>
      </c>
    </row>
    <row r="48" spans="1:31" s="35" customFormat="1">
      <c r="A48" s="922"/>
      <c r="B48" s="908"/>
      <c r="C48" s="908"/>
      <c r="D48" s="909"/>
      <c r="E48" s="911"/>
      <c r="F48" s="520"/>
      <c r="G48" s="520"/>
      <c r="H48" s="520"/>
      <c r="I48" s="520"/>
      <c r="J48" s="520"/>
      <c r="K48" s="520"/>
      <c r="L48" s="520"/>
      <c r="M48" s="520"/>
      <c r="N48" s="520"/>
      <c r="O48" s="520"/>
      <c r="P48" s="520"/>
      <c r="Q48" s="520"/>
      <c r="R48" s="520"/>
      <c r="S48" s="520"/>
      <c r="T48" s="912"/>
      <c r="U48" s="913"/>
      <c r="V48" s="913"/>
      <c r="W48" s="913"/>
      <c r="X48" s="912"/>
      <c r="Y48" s="912"/>
      <c r="Z48" s="912"/>
      <c r="AA48" s="912"/>
      <c r="AB48" s="920"/>
    </row>
    <row r="49" spans="1:35" s="150" customFormat="1" hidden="1">
      <c r="A49" s="235" t="s">
        <v>30</v>
      </c>
      <c r="B49" s="236" t="s">
        <v>25</v>
      </c>
      <c r="C49" s="236" t="s">
        <v>25</v>
      </c>
      <c r="D49" s="236" t="s">
        <v>25</v>
      </c>
      <c r="E49" s="243" t="s">
        <v>25</v>
      </c>
      <c r="F49" s="553"/>
      <c r="G49" s="553"/>
      <c r="H49" s="553"/>
      <c r="I49" s="553"/>
      <c r="J49" s="553"/>
      <c r="K49" s="553"/>
      <c r="L49" s="553"/>
      <c r="M49" s="553"/>
      <c r="N49" s="553"/>
      <c r="O49" s="553"/>
      <c r="P49" s="553"/>
      <c r="Q49" s="553"/>
      <c r="R49" s="553"/>
      <c r="S49" s="553"/>
      <c r="T49" s="243" t="s">
        <v>25</v>
      </c>
      <c r="U49" s="244"/>
      <c r="V49" s="244"/>
      <c r="W49" s="244"/>
      <c r="X49" s="243" t="s">
        <v>25</v>
      </c>
      <c r="Y49" s="244"/>
      <c r="Z49" s="244"/>
      <c r="AA49" s="244"/>
      <c r="AB49" s="240" t="s">
        <v>25</v>
      </c>
    </row>
    <row r="50" spans="1:35" s="150" customFormat="1" ht="30" hidden="1">
      <c r="A50" s="235" t="s">
        <v>62</v>
      </c>
      <c r="B50" s="228">
        <v>2121</v>
      </c>
      <c r="C50" s="236">
        <v>112</v>
      </c>
      <c r="D50" s="236">
        <v>212</v>
      </c>
      <c r="E50" s="243">
        <f>70000+20000+26500+40000+10000-5900</f>
        <v>160600</v>
      </c>
      <c r="F50" s="553"/>
      <c r="G50" s="553"/>
      <c r="H50" s="553"/>
      <c r="I50" s="553">
        <f>J50+K50</f>
        <v>0</v>
      </c>
      <c r="J50" s="553"/>
      <c r="K50" s="553"/>
      <c r="L50" s="553"/>
      <c r="M50" s="553"/>
      <c r="N50" s="553"/>
      <c r="O50" s="553"/>
      <c r="P50" s="553"/>
      <c r="Q50" s="553"/>
      <c r="R50" s="553"/>
      <c r="S50" s="553"/>
      <c r="T50" s="243">
        <f>70000</f>
        <v>70000</v>
      </c>
      <c r="U50" s="244">
        <v>243000</v>
      </c>
      <c r="V50" s="244">
        <v>0</v>
      </c>
      <c r="W50" s="244">
        <v>0</v>
      </c>
      <c r="X50" s="243">
        <f>70000</f>
        <v>70000</v>
      </c>
      <c r="Y50" s="244">
        <v>243000</v>
      </c>
      <c r="Z50" s="244">
        <v>0</v>
      </c>
      <c r="AA50" s="244">
        <v>0</v>
      </c>
      <c r="AB50" s="240" t="s">
        <v>51</v>
      </c>
    </row>
    <row r="51" spans="1:35" s="150" customFormat="1" ht="30" hidden="1">
      <c r="A51" s="235" t="s">
        <v>63</v>
      </c>
      <c r="B51" s="228">
        <v>2122</v>
      </c>
      <c r="C51" s="236">
        <v>112</v>
      </c>
      <c r="D51" s="236">
        <v>214</v>
      </c>
      <c r="E51" s="243">
        <f>882519.5+28594.53+450000-208359.54-877.13</f>
        <v>1151877.3600000001</v>
      </c>
      <c r="F51" s="553"/>
      <c r="G51" s="553"/>
      <c r="H51" s="553"/>
      <c r="I51" s="553"/>
      <c r="J51" s="553"/>
      <c r="K51" s="553"/>
      <c r="L51" s="553"/>
      <c r="M51" s="553"/>
      <c r="N51" s="553"/>
      <c r="O51" s="553"/>
      <c r="P51" s="553"/>
      <c r="Q51" s="553"/>
      <c r="R51" s="553"/>
      <c r="S51" s="553"/>
      <c r="T51" s="243">
        <f>1656135.34-7200+18119.99</f>
        <v>1667055.33</v>
      </c>
      <c r="U51" s="244">
        <v>1040000</v>
      </c>
      <c r="V51" s="244">
        <v>1040000</v>
      </c>
      <c r="W51" s="244">
        <v>1000000</v>
      </c>
      <c r="X51" s="243">
        <f>1257598.19+19629.99</f>
        <v>1277228.18</v>
      </c>
      <c r="Y51" s="244">
        <v>140000</v>
      </c>
      <c r="Z51" s="244">
        <v>960000</v>
      </c>
      <c r="AA51" s="244">
        <v>0</v>
      </c>
      <c r="AB51" s="240" t="s">
        <v>51</v>
      </c>
    </row>
    <row r="52" spans="1:35" s="150" customFormat="1" ht="60" hidden="1">
      <c r="A52" s="235" t="s">
        <v>64</v>
      </c>
      <c r="B52" s="228">
        <v>2123</v>
      </c>
      <c r="C52" s="236">
        <v>112</v>
      </c>
      <c r="D52" s="236">
        <v>226</v>
      </c>
      <c r="E52" s="243">
        <f>170000+64800+110000+225372.2+77000-40000-15770.1</f>
        <v>591402.1</v>
      </c>
      <c r="F52" s="553"/>
      <c r="G52" s="553"/>
      <c r="H52" s="553"/>
      <c r="I52" s="553"/>
      <c r="J52" s="553"/>
      <c r="K52" s="553"/>
      <c r="L52" s="553"/>
      <c r="M52" s="553"/>
      <c r="N52" s="553"/>
      <c r="O52" s="553"/>
      <c r="P52" s="553"/>
      <c r="Q52" s="553"/>
      <c r="R52" s="553"/>
      <c r="S52" s="553"/>
      <c r="T52" s="243">
        <f>170000</f>
        <v>170000</v>
      </c>
      <c r="U52" s="244">
        <v>764478</v>
      </c>
      <c r="V52" s="244">
        <v>0</v>
      </c>
      <c r="W52" s="244">
        <v>0</v>
      </c>
      <c r="X52" s="243">
        <f>170000</f>
        <v>170000</v>
      </c>
      <c r="Y52" s="244">
        <v>764478</v>
      </c>
      <c r="Z52" s="244">
        <v>0</v>
      </c>
      <c r="AA52" s="244">
        <v>0</v>
      </c>
      <c r="AB52" s="240" t="s">
        <v>51</v>
      </c>
    </row>
    <row r="53" spans="1:35" s="150" customFormat="1" ht="30" hidden="1">
      <c r="A53" s="235" t="s">
        <v>60</v>
      </c>
      <c r="B53" s="228">
        <v>2124</v>
      </c>
      <c r="C53" s="236">
        <v>112</v>
      </c>
      <c r="D53" s="236">
        <v>266</v>
      </c>
      <c r="E53" s="243">
        <v>0</v>
      </c>
      <c r="F53" s="553"/>
      <c r="G53" s="553"/>
      <c r="H53" s="553"/>
      <c r="I53" s="553"/>
      <c r="J53" s="553"/>
      <c r="K53" s="553"/>
      <c r="L53" s="553"/>
      <c r="M53" s="553"/>
      <c r="N53" s="553"/>
      <c r="O53" s="553"/>
      <c r="P53" s="553"/>
      <c r="Q53" s="553"/>
      <c r="R53" s="553"/>
      <c r="S53" s="553"/>
      <c r="T53" s="243">
        <f>44328.92</f>
        <v>44328.92</v>
      </c>
      <c r="U53" s="244">
        <v>100316.96</v>
      </c>
      <c r="V53" s="244">
        <v>160650.48000000001</v>
      </c>
      <c r="W53" s="244">
        <v>129828.02</v>
      </c>
      <c r="X53" s="243">
        <f>79972.75</f>
        <v>79972.75</v>
      </c>
      <c r="Y53" s="244">
        <v>900</v>
      </c>
      <c r="Z53" s="244">
        <v>102272.75</v>
      </c>
      <c r="AA53" s="244">
        <v>7200</v>
      </c>
      <c r="AB53" s="240" t="s">
        <v>51</v>
      </c>
    </row>
    <row r="54" spans="1:35">
      <c r="A54" s="921" t="s">
        <v>65</v>
      </c>
      <c r="B54" s="885">
        <v>2130</v>
      </c>
      <c r="C54" s="885">
        <v>113</v>
      </c>
      <c r="D54" s="885" t="s">
        <v>25</v>
      </c>
      <c r="E54" s="902" t="s">
        <v>51</v>
      </c>
      <c r="F54" s="553"/>
      <c r="G54" s="553"/>
      <c r="H54" s="553"/>
      <c r="I54" s="553"/>
      <c r="J54" s="553"/>
      <c r="K54" s="553"/>
      <c r="L54" s="553"/>
      <c r="M54" s="553"/>
      <c r="N54" s="553"/>
      <c r="O54" s="553"/>
      <c r="P54" s="553"/>
      <c r="Q54" s="553"/>
      <c r="R54" s="553"/>
      <c r="S54" s="553"/>
      <c r="T54" s="904" t="s">
        <v>51</v>
      </c>
      <c r="U54" s="900"/>
      <c r="V54" s="900"/>
      <c r="W54" s="900"/>
      <c r="X54" s="904" t="s">
        <v>51</v>
      </c>
      <c r="Y54" s="900"/>
      <c r="Z54" s="900"/>
      <c r="AA54" s="900"/>
      <c r="AB54" s="886" t="s">
        <v>51</v>
      </c>
    </row>
    <row r="55" spans="1:35" ht="33" customHeight="1">
      <c r="A55" s="921"/>
      <c r="B55" s="885"/>
      <c r="C55" s="885"/>
      <c r="D55" s="885"/>
      <c r="E55" s="903"/>
      <c r="F55" s="553"/>
      <c r="G55" s="553"/>
      <c r="H55" s="553"/>
      <c r="I55" s="553"/>
      <c r="J55" s="553"/>
      <c r="K55" s="553"/>
      <c r="L55" s="553"/>
      <c r="M55" s="553"/>
      <c r="N55" s="553"/>
      <c r="O55" s="553"/>
      <c r="P55" s="553"/>
      <c r="Q55" s="553"/>
      <c r="R55" s="553"/>
      <c r="S55" s="553"/>
      <c r="T55" s="904"/>
      <c r="U55" s="900"/>
      <c r="V55" s="900"/>
      <c r="W55" s="900"/>
      <c r="X55" s="904"/>
      <c r="Y55" s="900"/>
      <c r="Z55" s="900"/>
      <c r="AA55" s="900"/>
      <c r="AB55" s="886"/>
    </row>
    <row r="56" spans="1:35" s="35" customFormat="1" ht="60">
      <c r="A56" s="356" t="s">
        <v>66</v>
      </c>
      <c r="B56" s="357">
        <v>2140</v>
      </c>
      <c r="C56" s="357">
        <v>119</v>
      </c>
      <c r="D56" s="357" t="s">
        <v>25</v>
      </c>
      <c r="E56" s="360">
        <f>E58+E60</f>
        <v>18138241.829999998</v>
      </c>
      <c r="F56" s="520"/>
      <c r="G56" s="520"/>
      <c r="H56" s="520"/>
      <c r="I56" s="520"/>
      <c r="J56" s="520"/>
      <c r="K56" s="520"/>
      <c r="L56" s="520"/>
      <c r="M56" s="520"/>
      <c r="N56" s="520"/>
      <c r="O56" s="520"/>
      <c r="P56" s="520"/>
      <c r="Q56" s="520"/>
      <c r="R56" s="520"/>
      <c r="S56" s="520"/>
      <c r="T56" s="360">
        <f t="shared" ref="T56:X56" si="4">T58+T60</f>
        <v>14955738.23</v>
      </c>
      <c r="U56" s="362">
        <f t="shared" si="4"/>
        <v>1450913.69</v>
      </c>
      <c r="V56" s="362">
        <f t="shared" si="4"/>
        <v>8176092.4400000004</v>
      </c>
      <c r="W56" s="362">
        <f t="shared" si="4"/>
        <v>0</v>
      </c>
      <c r="X56" s="360">
        <f t="shared" si="4"/>
        <v>15063317.51</v>
      </c>
      <c r="Y56" s="360">
        <f>Y58+Y60</f>
        <v>1533302.43</v>
      </c>
      <c r="Z56" s="360">
        <f>Z58+Z60</f>
        <v>8134481.7999999998</v>
      </c>
      <c r="AA56" s="362">
        <f>AA58+AA60</f>
        <v>0</v>
      </c>
      <c r="AB56" s="359" t="s">
        <v>51</v>
      </c>
      <c r="AF56" s="159"/>
      <c r="AG56" s="159"/>
      <c r="AH56" s="159"/>
      <c r="AI56" s="159"/>
    </row>
    <row r="57" spans="1:35" s="196" customFormat="1" hidden="1">
      <c r="A57" s="191" t="s">
        <v>30</v>
      </c>
      <c r="B57" s="192" t="s">
        <v>25</v>
      </c>
      <c r="C57" s="192" t="s">
        <v>25</v>
      </c>
      <c r="D57" s="192" t="s">
        <v>25</v>
      </c>
      <c r="E57" s="193" t="s">
        <v>25</v>
      </c>
      <c r="F57" s="553"/>
      <c r="G57" s="553"/>
      <c r="H57" s="553"/>
      <c r="I57" s="553"/>
      <c r="J57" s="553"/>
      <c r="K57" s="553"/>
      <c r="L57" s="553"/>
      <c r="M57" s="553"/>
      <c r="N57" s="553"/>
      <c r="O57" s="553"/>
      <c r="P57" s="553"/>
      <c r="Q57" s="553"/>
      <c r="R57" s="553"/>
      <c r="S57" s="553"/>
      <c r="T57" s="193" t="s">
        <v>25</v>
      </c>
      <c r="U57" s="194"/>
      <c r="V57" s="194"/>
      <c r="W57" s="194"/>
      <c r="X57" s="193" t="s">
        <v>25</v>
      </c>
      <c r="Y57" s="193"/>
      <c r="Z57" s="193"/>
      <c r="AA57" s="194"/>
      <c r="AB57" s="195" t="s">
        <v>25</v>
      </c>
      <c r="AF57" s="215"/>
      <c r="AG57" s="215"/>
      <c r="AH57" s="215"/>
      <c r="AI57" s="215"/>
    </row>
    <row r="58" spans="1:35" hidden="1">
      <c r="A58" s="889" t="s">
        <v>510</v>
      </c>
      <c r="B58" s="896">
        <v>2141</v>
      </c>
      <c r="C58" s="896">
        <v>119</v>
      </c>
      <c r="D58" s="896">
        <v>213</v>
      </c>
      <c r="E58" s="902">
        <f>39164.53+12522697.44-28594.53+134129.95+33019.31+660434.71+2177326.25+73714.54-4570-3039.43+156787.33+176941.15+29702.75+944865.6+1225662.23</f>
        <v>18138241.829999998</v>
      </c>
      <c r="F58" s="918">
        <f>G58+H58</f>
        <v>641873.99</v>
      </c>
      <c r="G58" s="918">
        <v>268992.51</v>
      </c>
      <c r="H58" s="918">
        <v>372881.48</v>
      </c>
      <c r="I58" s="918">
        <f>J58+K58</f>
        <v>-372881.48</v>
      </c>
      <c r="J58" s="918"/>
      <c r="K58" s="918">
        <v>-372881.48</v>
      </c>
      <c r="L58" s="558"/>
      <c r="M58" s="558"/>
      <c r="N58" s="558"/>
      <c r="O58" s="558"/>
      <c r="P58" s="558"/>
      <c r="Q58" s="558"/>
      <c r="R58" s="558"/>
      <c r="S58" s="558"/>
      <c r="T58" s="902">
        <f>33017.32+12034393.57-18119.99+1201061.68+1705385.65</f>
        <v>14955738.23</v>
      </c>
      <c r="U58" s="916">
        <f>[1]Лист9!F42</f>
        <v>1450913.69</v>
      </c>
      <c r="V58" s="916">
        <f>[1]Лист9!F22</f>
        <v>8142293.2800000003</v>
      </c>
      <c r="W58" s="916">
        <v>0</v>
      </c>
      <c r="X58" s="902">
        <f>43781.76+9368341.75-19629.99+3955188.6+1715635.39</f>
        <v>15063317.51</v>
      </c>
      <c r="Y58" s="916">
        <f>[1]Лист9!H42</f>
        <v>1533302.43</v>
      </c>
      <c r="Z58" s="916">
        <f>[1]Лист9!H22</f>
        <v>8098921.9800000004</v>
      </c>
      <c r="AA58" s="916">
        <v>0</v>
      </c>
      <c r="AB58" s="893" t="s">
        <v>51</v>
      </c>
      <c r="AF58" s="160"/>
      <c r="AG58" s="160"/>
      <c r="AH58" s="160"/>
      <c r="AI58" s="160"/>
    </row>
    <row r="59" spans="1:35" hidden="1">
      <c r="A59" s="890"/>
      <c r="B59" s="897"/>
      <c r="C59" s="897"/>
      <c r="D59" s="897"/>
      <c r="E59" s="903"/>
      <c r="F59" s="919"/>
      <c r="G59" s="919"/>
      <c r="H59" s="919"/>
      <c r="I59" s="919"/>
      <c r="J59" s="919"/>
      <c r="K59" s="919"/>
      <c r="L59" s="559"/>
      <c r="M59" s="559"/>
      <c r="N59" s="559"/>
      <c r="O59" s="559"/>
      <c r="P59" s="559"/>
      <c r="Q59" s="559"/>
      <c r="R59" s="559"/>
      <c r="S59" s="559"/>
      <c r="T59" s="903"/>
      <c r="U59" s="917"/>
      <c r="V59" s="917"/>
      <c r="W59" s="917"/>
      <c r="X59" s="903"/>
      <c r="Y59" s="917"/>
      <c r="Z59" s="917"/>
      <c r="AA59" s="917"/>
      <c r="AB59" s="894"/>
    </row>
    <row r="60" spans="1:35" hidden="1">
      <c r="A60" s="884" t="s">
        <v>67</v>
      </c>
      <c r="B60" s="885">
        <v>2142</v>
      </c>
      <c r="C60" s="885">
        <v>119</v>
      </c>
      <c r="D60" s="885">
        <v>266</v>
      </c>
      <c r="E60" s="902">
        <f>94928.69-94928.69</f>
        <v>0</v>
      </c>
      <c r="F60" s="553"/>
      <c r="G60" s="553"/>
      <c r="H60" s="553"/>
      <c r="I60" s="553"/>
      <c r="J60" s="553"/>
      <c r="K60" s="553"/>
      <c r="L60" s="553"/>
      <c r="M60" s="553"/>
      <c r="N60" s="553"/>
      <c r="O60" s="553"/>
      <c r="P60" s="553"/>
      <c r="Q60" s="553"/>
      <c r="R60" s="553"/>
      <c r="S60" s="553"/>
      <c r="T60" s="904">
        <v>0</v>
      </c>
      <c r="U60" s="900">
        <v>0</v>
      </c>
      <c r="V60" s="900">
        <f>[1]Лист10!J12</f>
        <v>33799.160000000003</v>
      </c>
      <c r="W60" s="900">
        <v>0</v>
      </c>
      <c r="X60" s="904">
        <v>0</v>
      </c>
      <c r="Y60" s="900">
        <v>0</v>
      </c>
      <c r="Z60" s="900">
        <f>[1]Лист10!N12</f>
        <v>35559.82</v>
      </c>
      <c r="AA60" s="900">
        <v>0</v>
      </c>
      <c r="AB60" s="886" t="s">
        <v>51</v>
      </c>
    </row>
    <row r="61" spans="1:35" hidden="1">
      <c r="A61" s="884"/>
      <c r="B61" s="885"/>
      <c r="C61" s="885"/>
      <c r="D61" s="885"/>
      <c r="E61" s="903"/>
      <c r="F61" s="553"/>
      <c r="G61" s="553"/>
      <c r="H61" s="553"/>
      <c r="I61" s="553"/>
      <c r="J61" s="553"/>
      <c r="K61" s="553"/>
      <c r="L61" s="553"/>
      <c r="M61" s="553"/>
      <c r="N61" s="553"/>
      <c r="O61" s="553"/>
      <c r="P61" s="553"/>
      <c r="Q61" s="553"/>
      <c r="R61" s="553"/>
      <c r="S61" s="553"/>
      <c r="T61" s="904"/>
      <c r="U61" s="900"/>
      <c r="V61" s="900"/>
      <c r="W61" s="900"/>
      <c r="X61" s="904"/>
      <c r="Y61" s="900"/>
      <c r="Z61" s="900"/>
      <c r="AA61" s="900"/>
      <c r="AB61" s="886"/>
    </row>
    <row r="62" spans="1:35">
      <c r="A62" s="884" t="s">
        <v>68</v>
      </c>
      <c r="B62" s="885">
        <v>2200</v>
      </c>
      <c r="C62" s="885">
        <v>300</v>
      </c>
      <c r="D62" s="885" t="s">
        <v>25</v>
      </c>
      <c r="E62" s="902" t="s">
        <v>51</v>
      </c>
      <c r="F62" s="553"/>
      <c r="G62" s="553"/>
      <c r="H62" s="553"/>
      <c r="I62" s="553"/>
      <c r="J62" s="553"/>
      <c r="K62" s="553"/>
      <c r="L62" s="553"/>
      <c r="M62" s="553"/>
      <c r="N62" s="553"/>
      <c r="O62" s="553"/>
      <c r="P62" s="553"/>
      <c r="Q62" s="553"/>
      <c r="R62" s="553"/>
      <c r="S62" s="553"/>
      <c r="T62" s="904" t="str">
        <f>T64</f>
        <v>-</v>
      </c>
      <c r="U62" s="900">
        <f>U64</f>
        <v>0</v>
      </c>
      <c r="V62" s="900">
        <f t="shared" ref="V62:W62" si="5">V64</f>
        <v>0</v>
      </c>
      <c r="W62" s="900">
        <f t="shared" si="5"/>
        <v>0</v>
      </c>
      <c r="X62" s="904" t="s">
        <v>51</v>
      </c>
      <c r="Y62" s="900">
        <f>Y64</f>
        <v>0</v>
      </c>
      <c r="Z62" s="900">
        <f t="shared" ref="Z62:AA62" si="6">Z64</f>
        <v>0</v>
      </c>
      <c r="AA62" s="900">
        <f t="shared" si="6"/>
        <v>0</v>
      </c>
      <c r="AB62" s="886" t="s">
        <v>51</v>
      </c>
    </row>
    <row r="63" spans="1:35">
      <c r="A63" s="884"/>
      <c r="B63" s="885"/>
      <c r="C63" s="885"/>
      <c r="D63" s="885"/>
      <c r="E63" s="903"/>
      <c r="F63" s="553"/>
      <c r="G63" s="553"/>
      <c r="H63" s="553"/>
      <c r="I63" s="553"/>
      <c r="J63" s="553"/>
      <c r="K63" s="553"/>
      <c r="L63" s="553"/>
      <c r="M63" s="553"/>
      <c r="N63" s="553"/>
      <c r="O63" s="553"/>
      <c r="P63" s="553"/>
      <c r="Q63" s="553"/>
      <c r="R63" s="553"/>
      <c r="S63" s="553"/>
      <c r="T63" s="904"/>
      <c r="U63" s="900"/>
      <c r="V63" s="900"/>
      <c r="W63" s="900"/>
      <c r="X63" s="904"/>
      <c r="Y63" s="900"/>
      <c r="Z63" s="900"/>
      <c r="AA63" s="900"/>
      <c r="AB63" s="886"/>
    </row>
    <row r="64" spans="1:35" ht="26.25" customHeight="1">
      <c r="A64" s="884" t="s">
        <v>503</v>
      </c>
      <c r="B64" s="885">
        <v>2210</v>
      </c>
      <c r="C64" s="885">
        <v>320</v>
      </c>
      <c r="D64" s="885" t="s">
        <v>25</v>
      </c>
      <c r="E64" s="902" t="s">
        <v>51</v>
      </c>
      <c r="F64" s="553"/>
      <c r="G64" s="553"/>
      <c r="H64" s="553"/>
      <c r="I64" s="553"/>
      <c r="J64" s="553"/>
      <c r="K64" s="553"/>
      <c r="L64" s="553"/>
      <c r="M64" s="553"/>
      <c r="N64" s="553"/>
      <c r="O64" s="553"/>
      <c r="P64" s="553"/>
      <c r="Q64" s="553"/>
      <c r="R64" s="553"/>
      <c r="S64" s="553"/>
      <c r="T64" s="904" t="s">
        <v>51</v>
      </c>
      <c r="U64" s="900">
        <v>0</v>
      </c>
      <c r="V64" s="900">
        <v>0</v>
      </c>
      <c r="W64" s="900">
        <v>0</v>
      </c>
      <c r="X64" s="904" t="s">
        <v>51</v>
      </c>
      <c r="Y64" s="900">
        <v>0</v>
      </c>
      <c r="Z64" s="900">
        <v>0</v>
      </c>
      <c r="AA64" s="900">
        <v>0</v>
      </c>
      <c r="AB64" s="886" t="s">
        <v>51</v>
      </c>
    </row>
    <row r="65" spans="1:28" ht="34.5" customHeight="1">
      <c r="A65" s="884"/>
      <c r="B65" s="885"/>
      <c r="C65" s="885"/>
      <c r="D65" s="885"/>
      <c r="E65" s="903"/>
      <c r="F65" s="553"/>
      <c r="G65" s="553"/>
      <c r="H65" s="553"/>
      <c r="I65" s="553"/>
      <c r="J65" s="553"/>
      <c r="K65" s="553"/>
      <c r="L65" s="553"/>
      <c r="M65" s="553"/>
      <c r="N65" s="553"/>
      <c r="O65" s="553"/>
      <c r="P65" s="553"/>
      <c r="Q65" s="553"/>
      <c r="R65" s="553"/>
      <c r="S65" s="553"/>
      <c r="T65" s="904"/>
      <c r="U65" s="900"/>
      <c r="V65" s="900"/>
      <c r="W65" s="900"/>
      <c r="X65" s="904"/>
      <c r="Y65" s="900"/>
      <c r="Z65" s="900"/>
      <c r="AA65" s="900"/>
      <c r="AB65" s="886"/>
    </row>
    <row r="66" spans="1:28" ht="26.25" customHeight="1">
      <c r="A66" s="884" t="s">
        <v>504</v>
      </c>
      <c r="B66" s="885">
        <v>2211</v>
      </c>
      <c r="C66" s="885">
        <v>321</v>
      </c>
      <c r="D66" s="885" t="s">
        <v>25</v>
      </c>
      <c r="E66" s="902" t="s">
        <v>51</v>
      </c>
      <c r="F66" s="553"/>
      <c r="G66" s="553"/>
      <c r="H66" s="553"/>
      <c r="I66" s="553"/>
      <c r="J66" s="553"/>
      <c r="K66" s="553"/>
      <c r="L66" s="553"/>
      <c r="M66" s="553"/>
      <c r="N66" s="553"/>
      <c r="O66" s="553"/>
      <c r="P66" s="553"/>
      <c r="Q66" s="553"/>
      <c r="R66" s="553"/>
      <c r="S66" s="553"/>
      <c r="T66" s="904" t="s">
        <v>51</v>
      </c>
      <c r="U66" s="900">
        <v>0</v>
      </c>
      <c r="V66" s="900">
        <v>0</v>
      </c>
      <c r="W66" s="900">
        <v>0</v>
      </c>
      <c r="X66" s="904" t="s">
        <v>51</v>
      </c>
      <c r="Y66" s="900">
        <v>0</v>
      </c>
      <c r="Z66" s="900">
        <v>0</v>
      </c>
      <c r="AA66" s="900">
        <v>0</v>
      </c>
      <c r="AB66" s="886" t="s">
        <v>51</v>
      </c>
    </row>
    <row r="67" spans="1:28" ht="30" customHeight="1">
      <c r="A67" s="884"/>
      <c r="B67" s="885"/>
      <c r="C67" s="885"/>
      <c r="D67" s="885"/>
      <c r="E67" s="903"/>
      <c r="F67" s="553"/>
      <c r="G67" s="553"/>
      <c r="H67" s="553"/>
      <c r="I67" s="553"/>
      <c r="J67" s="553"/>
      <c r="K67" s="553"/>
      <c r="L67" s="553"/>
      <c r="M67" s="553"/>
      <c r="N67" s="553"/>
      <c r="O67" s="553"/>
      <c r="P67" s="553"/>
      <c r="Q67" s="553"/>
      <c r="R67" s="553"/>
      <c r="S67" s="553"/>
      <c r="T67" s="904"/>
      <c r="U67" s="900"/>
      <c r="V67" s="900"/>
      <c r="W67" s="900"/>
      <c r="X67" s="904"/>
      <c r="Y67" s="900"/>
      <c r="Z67" s="900"/>
      <c r="AA67" s="900"/>
      <c r="AB67" s="886"/>
    </row>
    <row r="68" spans="1:28" ht="60">
      <c r="A68" s="348" t="s">
        <v>69</v>
      </c>
      <c r="B68" s="349">
        <v>2220</v>
      </c>
      <c r="C68" s="349">
        <v>340</v>
      </c>
      <c r="D68" s="349" t="s">
        <v>25</v>
      </c>
      <c r="E68" s="355" t="s">
        <v>51</v>
      </c>
      <c r="F68" s="553"/>
      <c r="G68" s="553"/>
      <c r="H68" s="553"/>
      <c r="I68" s="553"/>
      <c r="J68" s="553"/>
      <c r="K68" s="553"/>
      <c r="L68" s="553"/>
      <c r="M68" s="553"/>
      <c r="N68" s="553"/>
      <c r="O68" s="553"/>
      <c r="P68" s="553"/>
      <c r="Q68" s="553"/>
      <c r="R68" s="553"/>
      <c r="S68" s="553"/>
      <c r="T68" s="355" t="s">
        <v>51</v>
      </c>
      <c r="U68" s="354"/>
      <c r="V68" s="354"/>
      <c r="W68" s="354"/>
      <c r="X68" s="355" t="s">
        <v>51</v>
      </c>
      <c r="Y68" s="354"/>
      <c r="Z68" s="354"/>
      <c r="AA68" s="354"/>
      <c r="AB68" s="350" t="s">
        <v>51</v>
      </c>
    </row>
    <row r="69" spans="1:28" ht="90">
      <c r="A69" s="348" t="s">
        <v>70</v>
      </c>
      <c r="B69" s="349">
        <v>2230</v>
      </c>
      <c r="C69" s="349">
        <v>350</v>
      </c>
      <c r="D69" s="349" t="s">
        <v>25</v>
      </c>
      <c r="E69" s="355" t="s">
        <v>51</v>
      </c>
      <c r="F69" s="553"/>
      <c r="G69" s="553"/>
      <c r="H69" s="553"/>
      <c r="I69" s="553"/>
      <c r="J69" s="553"/>
      <c r="K69" s="553"/>
      <c r="L69" s="553"/>
      <c r="M69" s="553"/>
      <c r="N69" s="553"/>
      <c r="O69" s="553"/>
      <c r="P69" s="553"/>
      <c r="Q69" s="553"/>
      <c r="R69" s="553"/>
      <c r="S69" s="553"/>
      <c r="T69" s="355" t="s">
        <v>51</v>
      </c>
      <c r="U69" s="354"/>
      <c r="V69" s="354"/>
      <c r="W69" s="354"/>
      <c r="X69" s="355" t="s">
        <v>51</v>
      </c>
      <c r="Y69" s="354"/>
      <c r="Z69" s="354"/>
      <c r="AA69" s="354"/>
      <c r="AB69" s="350" t="s">
        <v>51</v>
      </c>
    </row>
    <row r="70" spans="1:28">
      <c r="A70" s="348" t="s">
        <v>71</v>
      </c>
      <c r="B70" s="349">
        <v>2240</v>
      </c>
      <c r="C70" s="349">
        <v>360</v>
      </c>
      <c r="D70" s="349" t="s">
        <v>25</v>
      </c>
      <c r="E70" s="355" t="s">
        <v>51</v>
      </c>
      <c r="F70" s="553"/>
      <c r="G70" s="553"/>
      <c r="H70" s="553"/>
      <c r="I70" s="553"/>
      <c r="J70" s="553"/>
      <c r="K70" s="553"/>
      <c r="L70" s="553"/>
      <c r="M70" s="553"/>
      <c r="N70" s="553"/>
      <c r="O70" s="553"/>
      <c r="P70" s="553"/>
      <c r="Q70" s="553"/>
      <c r="R70" s="553"/>
      <c r="S70" s="553"/>
      <c r="T70" s="355" t="s">
        <v>51</v>
      </c>
      <c r="U70" s="354"/>
      <c r="V70" s="354"/>
      <c r="W70" s="354"/>
      <c r="X70" s="355" t="s">
        <v>51</v>
      </c>
      <c r="Y70" s="354"/>
      <c r="Z70" s="354"/>
      <c r="AA70" s="354"/>
      <c r="AB70" s="350" t="s">
        <v>51</v>
      </c>
    </row>
    <row r="71" spans="1:28" s="35" customFormat="1" ht="30">
      <c r="A71" s="356" t="s">
        <v>72</v>
      </c>
      <c r="B71" s="357">
        <v>2300</v>
      </c>
      <c r="C71" s="357">
        <v>850</v>
      </c>
      <c r="D71" s="357" t="s">
        <v>25</v>
      </c>
      <c r="E71" s="360">
        <f>E73+E76+E77</f>
        <v>62602.57</v>
      </c>
      <c r="F71" s="520"/>
      <c r="G71" s="520"/>
      <c r="H71" s="520"/>
      <c r="I71" s="520"/>
      <c r="J71" s="520"/>
      <c r="K71" s="520"/>
      <c r="L71" s="520"/>
      <c r="M71" s="520"/>
      <c r="N71" s="520"/>
      <c r="O71" s="520"/>
      <c r="P71" s="520"/>
      <c r="Q71" s="520"/>
      <c r="R71" s="520"/>
      <c r="S71" s="520"/>
      <c r="T71" s="360">
        <f t="shared" ref="T71:X71" si="7">T73+T76+T77</f>
        <v>60161.64</v>
      </c>
      <c r="U71" s="362">
        <f t="shared" si="7"/>
        <v>27269.56</v>
      </c>
      <c r="V71" s="362">
        <f t="shared" si="7"/>
        <v>4216753.62</v>
      </c>
      <c r="W71" s="362">
        <f t="shared" si="7"/>
        <v>19701</v>
      </c>
      <c r="X71" s="360">
        <f t="shared" si="7"/>
        <v>46819.72</v>
      </c>
      <c r="Y71" s="360">
        <f>Y73+Y77</f>
        <v>0</v>
      </c>
      <c r="Z71" s="360">
        <f>Z73+Z77</f>
        <v>1994933.25</v>
      </c>
      <c r="AA71" s="360">
        <f>AA73+AA77</f>
        <v>0</v>
      </c>
      <c r="AB71" s="359" t="s">
        <v>51</v>
      </c>
    </row>
    <row r="72" spans="1:28" s="196" customFormat="1" hidden="1">
      <c r="A72" s="191" t="s">
        <v>58</v>
      </c>
      <c r="B72" s="192" t="s">
        <v>25</v>
      </c>
      <c r="C72" s="192" t="s">
        <v>25</v>
      </c>
      <c r="D72" s="192" t="s">
        <v>25</v>
      </c>
      <c r="E72" s="193" t="s">
        <v>25</v>
      </c>
      <c r="F72" s="520"/>
      <c r="G72" s="520"/>
      <c r="H72" s="520"/>
      <c r="I72" s="520"/>
      <c r="J72" s="520"/>
      <c r="K72" s="520"/>
      <c r="L72" s="520"/>
      <c r="M72" s="520"/>
      <c r="N72" s="520"/>
      <c r="O72" s="520"/>
      <c r="P72" s="520"/>
      <c r="Q72" s="520"/>
      <c r="R72" s="520"/>
      <c r="S72" s="520"/>
      <c r="T72" s="193" t="s">
        <v>25</v>
      </c>
      <c r="U72" s="194"/>
      <c r="V72" s="194"/>
      <c r="W72" s="194"/>
      <c r="X72" s="193" t="s">
        <v>25</v>
      </c>
      <c r="Y72" s="194"/>
      <c r="Z72" s="194"/>
      <c r="AA72" s="194"/>
      <c r="AB72" s="195" t="s">
        <v>25</v>
      </c>
    </row>
    <row r="73" spans="1:28" ht="32.25" hidden="1" customHeight="1">
      <c r="A73" s="884" t="s">
        <v>509</v>
      </c>
      <c r="B73" s="914">
        <v>2310</v>
      </c>
      <c r="C73" s="885">
        <v>851</v>
      </c>
      <c r="D73" s="885">
        <v>291</v>
      </c>
      <c r="E73" s="902">
        <v>0</v>
      </c>
      <c r="F73" s="520"/>
      <c r="G73" s="520"/>
      <c r="H73" s="520"/>
      <c r="I73" s="520"/>
      <c r="J73" s="520"/>
      <c r="K73" s="520"/>
      <c r="L73" s="520"/>
      <c r="M73" s="520"/>
      <c r="N73" s="520"/>
      <c r="O73" s="520"/>
      <c r="P73" s="520"/>
      <c r="Q73" s="520"/>
      <c r="R73" s="520"/>
      <c r="S73" s="520"/>
      <c r="T73" s="904">
        <v>0</v>
      </c>
      <c r="U73" s="900">
        <f>[1]Лист10!I38+[1]Лист10!I39</f>
        <v>0</v>
      </c>
      <c r="V73" s="900">
        <f>[1]Лист10!J38+[1]Лист10!J39</f>
        <v>2031292</v>
      </c>
      <c r="W73" s="900">
        <v>0</v>
      </c>
      <c r="X73" s="904">
        <v>0</v>
      </c>
      <c r="Y73" s="900">
        <v>0</v>
      </c>
      <c r="Z73" s="900">
        <f>[1]Лист10!N38+[1]Лист10!N39</f>
        <v>1975232.25</v>
      </c>
      <c r="AA73" s="900">
        <v>0</v>
      </c>
      <c r="AB73" s="886" t="s">
        <v>51</v>
      </c>
    </row>
    <row r="74" spans="1:28" ht="15" hidden="1" customHeight="1">
      <c r="A74" s="884"/>
      <c r="B74" s="914"/>
      <c r="C74" s="885"/>
      <c r="D74" s="885"/>
      <c r="E74" s="915"/>
      <c r="F74" s="520"/>
      <c r="G74" s="520"/>
      <c r="H74" s="520"/>
      <c r="I74" s="520"/>
      <c r="J74" s="520"/>
      <c r="K74" s="520"/>
      <c r="L74" s="520"/>
      <c r="M74" s="520"/>
      <c r="N74" s="520"/>
      <c r="O74" s="520"/>
      <c r="P74" s="520"/>
      <c r="Q74" s="520"/>
      <c r="R74" s="520"/>
      <c r="S74" s="520"/>
      <c r="T74" s="904"/>
      <c r="U74" s="900"/>
      <c r="V74" s="900"/>
      <c r="W74" s="900"/>
      <c r="X74" s="904"/>
      <c r="Y74" s="900"/>
      <c r="Z74" s="900"/>
      <c r="AA74" s="900"/>
      <c r="AB74" s="886"/>
    </row>
    <row r="75" spans="1:28" s="196" customFormat="1" ht="15" hidden="1" customHeight="1">
      <c r="A75" s="191"/>
      <c r="B75" s="914"/>
      <c r="C75" s="885"/>
      <c r="D75" s="885"/>
      <c r="E75" s="903"/>
      <c r="F75" s="520"/>
      <c r="G75" s="520"/>
      <c r="H75" s="520"/>
      <c r="I75" s="520"/>
      <c r="J75" s="520"/>
      <c r="K75" s="520"/>
      <c r="L75" s="520"/>
      <c r="M75" s="520"/>
      <c r="N75" s="520"/>
      <c r="O75" s="520"/>
      <c r="P75" s="520"/>
      <c r="Q75" s="520"/>
      <c r="R75" s="520"/>
      <c r="S75" s="520"/>
      <c r="T75" s="904"/>
      <c r="U75" s="900"/>
      <c r="V75" s="900"/>
      <c r="W75" s="900"/>
      <c r="X75" s="904"/>
      <c r="Y75" s="900"/>
      <c r="Z75" s="900"/>
      <c r="AA75" s="900"/>
      <c r="AB75" s="886"/>
    </row>
    <row r="76" spans="1:28" ht="79.5" hidden="1" customHeight="1">
      <c r="A76" s="348" t="s">
        <v>73</v>
      </c>
      <c r="B76" s="364">
        <v>2320</v>
      </c>
      <c r="C76" s="349">
        <v>852</v>
      </c>
      <c r="D76" s="349">
        <v>291</v>
      </c>
      <c r="E76" s="355">
        <f>0+F76+I76-800</f>
        <v>0</v>
      </c>
      <c r="F76" s="520"/>
      <c r="G76" s="520"/>
      <c r="H76" s="520"/>
      <c r="I76" s="520">
        <f>J76+K76</f>
        <v>800</v>
      </c>
      <c r="J76" s="520"/>
      <c r="K76" s="520">
        <v>800</v>
      </c>
      <c r="L76" s="520"/>
      <c r="M76" s="520"/>
      <c r="N76" s="520"/>
      <c r="O76" s="520"/>
      <c r="P76" s="520"/>
      <c r="Q76" s="520"/>
      <c r="R76" s="520"/>
      <c r="S76" s="520"/>
      <c r="T76" s="355">
        <v>0</v>
      </c>
      <c r="U76" s="354">
        <v>0</v>
      </c>
      <c r="V76" s="354">
        <v>0</v>
      </c>
      <c r="W76" s="354">
        <v>0</v>
      </c>
      <c r="X76" s="355">
        <v>0</v>
      </c>
      <c r="Y76" s="354">
        <v>0</v>
      </c>
      <c r="Z76" s="354">
        <v>0</v>
      </c>
      <c r="AA76" s="354">
        <v>0</v>
      </c>
      <c r="AB76" s="350" t="s">
        <v>51</v>
      </c>
    </row>
    <row r="77" spans="1:28" s="35" customFormat="1">
      <c r="A77" s="906" t="s">
        <v>74</v>
      </c>
      <c r="B77" s="907">
        <v>2330</v>
      </c>
      <c r="C77" s="908">
        <v>853</v>
      </c>
      <c r="D77" s="909" t="s">
        <v>853</v>
      </c>
      <c r="E77" s="910">
        <f>SUM(E79:E81)</f>
        <v>62602.57</v>
      </c>
      <c r="F77" s="520"/>
      <c r="G77" s="520"/>
      <c r="H77" s="520"/>
      <c r="I77" s="520"/>
      <c r="J77" s="520"/>
      <c r="K77" s="520"/>
      <c r="L77" s="520"/>
      <c r="M77" s="520"/>
      <c r="N77" s="520"/>
      <c r="O77" s="520"/>
      <c r="P77" s="520"/>
      <c r="Q77" s="520"/>
      <c r="R77" s="520"/>
      <c r="S77" s="520"/>
      <c r="T77" s="912">
        <f t="shared" ref="T77:X77" si="8">SUM(T79:T81)</f>
        <v>60161.64</v>
      </c>
      <c r="U77" s="912">
        <f t="shared" si="8"/>
        <v>27269.56</v>
      </c>
      <c r="V77" s="912">
        <f t="shared" si="8"/>
        <v>2185461.62</v>
      </c>
      <c r="W77" s="912">
        <f t="shared" si="8"/>
        <v>19701</v>
      </c>
      <c r="X77" s="912">
        <f t="shared" si="8"/>
        <v>46819.72</v>
      </c>
      <c r="Y77" s="913">
        <v>0</v>
      </c>
      <c r="Z77" s="913">
        <v>19701</v>
      </c>
      <c r="AA77" s="913">
        <v>0</v>
      </c>
      <c r="AB77" s="912" t="s">
        <v>51</v>
      </c>
    </row>
    <row r="78" spans="1:28" s="35" customFormat="1">
      <c r="A78" s="906"/>
      <c r="B78" s="907"/>
      <c r="C78" s="908"/>
      <c r="D78" s="909"/>
      <c r="E78" s="911"/>
      <c r="F78" s="520"/>
      <c r="G78" s="520"/>
      <c r="H78" s="520"/>
      <c r="I78" s="520"/>
      <c r="J78" s="520"/>
      <c r="K78" s="520"/>
      <c r="L78" s="520"/>
      <c r="M78" s="520"/>
      <c r="N78" s="520"/>
      <c r="O78" s="520"/>
      <c r="P78" s="520"/>
      <c r="Q78" s="520"/>
      <c r="R78" s="520"/>
      <c r="S78" s="520"/>
      <c r="T78" s="912"/>
      <c r="U78" s="912"/>
      <c r="V78" s="912"/>
      <c r="W78" s="912"/>
      <c r="X78" s="912"/>
      <c r="Y78" s="913"/>
      <c r="Z78" s="913"/>
      <c r="AA78" s="913"/>
      <c r="AB78" s="912"/>
    </row>
    <row r="79" spans="1:28" s="150" customFormat="1" hidden="1">
      <c r="A79" s="242" t="s">
        <v>75</v>
      </c>
      <c r="B79" s="228">
        <v>2330</v>
      </c>
      <c r="C79" s="236">
        <v>853</v>
      </c>
      <c r="D79" s="236">
        <v>241</v>
      </c>
      <c r="E79" s="243">
        <v>0</v>
      </c>
      <c r="F79" s="553"/>
      <c r="G79" s="553"/>
      <c r="H79" s="553"/>
      <c r="I79" s="553"/>
      <c r="J79" s="553"/>
      <c r="K79" s="553"/>
      <c r="L79" s="553"/>
      <c r="M79" s="553"/>
      <c r="N79" s="553"/>
      <c r="O79" s="553"/>
      <c r="P79" s="553"/>
      <c r="Q79" s="553"/>
      <c r="R79" s="553"/>
      <c r="S79" s="553"/>
      <c r="T79" s="243">
        <v>0</v>
      </c>
      <c r="U79" s="243">
        <v>19701</v>
      </c>
      <c r="V79" s="243">
        <v>19701</v>
      </c>
      <c r="W79" s="243">
        <v>19701</v>
      </c>
      <c r="X79" s="243">
        <v>0</v>
      </c>
      <c r="Y79" s="244"/>
      <c r="Z79" s="244"/>
      <c r="AA79" s="244"/>
      <c r="AB79" s="240" t="s">
        <v>51</v>
      </c>
    </row>
    <row r="80" spans="1:28" s="150" customFormat="1" ht="30" hidden="1">
      <c r="A80" s="242" t="s">
        <v>76</v>
      </c>
      <c r="B80" s="228">
        <v>2330</v>
      </c>
      <c r="C80" s="236">
        <v>853</v>
      </c>
      <c r="D80" s="236">
        <v>297</v>
      </c>
      <c r="E80" s="243">
        <f>62602.57</f>
        <v>62602.57</v>
      </c>
      <c r="F80" s="553"/>
      <c r="G80" s="553"/>
      <c r="H80" s="553"/>
      <c r="I80" s="553"/>
      <c r="J80" s="553"/>
      <c r="K80" s="553"/>
      <c r="L80" s="553"/>
      <c r="M80" s="553"/>
      <c r="N80" s="553"/>
      <c r="O80" s="553"/>
      <c r="P80" s="553"/>
      <c r="Q80" s="553"/>
      <c r="R80" s="553"/>
      <c r="S80" s="553"/>
      <c r="T80" s="243">
        <f>60161.64</f>
        <v>60161.64</v>
      </c>
      <c r="U80" s="244">
        <f>[1]Лист10!J51</f>
        <v>7568.56</v>
      </c>
      <c r="V80" s="244">
        <f>[1]Лист10!J41</f>
        <v>57383.81</v>
      </c>
      <c r="W80" s="244">
        <v>0</v>
      </c>
      <c r="X80" s="243">
        <f>46819.72</f>
        <v>46819.72</v>
      </c>
      <c r="Y80" s="244">
        <f>[1]Лист10!N51</f>
        <v>7810.55</v>
      </c>
      <c r="Z80" s="244">
        <f>[1]Лист10!N41</f>
        <v>57383.81</v>
      </c>
      <c r="AA80" s="244">
        <v>0</v>
      </c>
      <c r="AB80" s="240" t="s">
        <v>51</v>
      </c>
    </row>
    <row r="81" spans="1:28" s="150" customFormat="1" hidden="1">
      <c r="A81" s="242" t="s">
        <v>483</v>
      </c>
      <c r="B81" s="228">
        <v>2330</v>
      </c>
      <c r="C81" s="236">
        <v>853</v>
      </c>
      <c r="D81" s="236">
        <v>295</v>
      </c>
      <c r="E81" s="243">
        <v>0</v>
      </c>
      <c r="F81" s="553"/>
      <c r="G81" s="553"/>
      <c r="H81" s="553"/>
      <c r="I81" s="553"/>
      <c r="J81" s="553"/>
      <c r="K81" s="553"/>
      <c r="L81" s="553"/>
      <c r="M81" s="553"/>
      <c r="N81" s="553"/>
      <c r="O81" s="553"/>
      <c r="P81" s="553"/>
      <c r="Q81" s="553"/>
      <c r="R81" s="553"/>
      <c r="S81" s="553"/>
      <c r="T81" s="243">
        <v>0</v>
      </c>
      <c r="U81" s="244">
        <f>[1]Лист10!J52</f>
        <v>0</v>
      </c>
      <c r="V81" s="244">
        <f>[1]Лист10!J42</f>
        <v>2108376.81</v>
      </c>
      <c r="W81" s="244">
        <v>0</v>
      </c>
      <c r="X81" s="243">
        <v>0</v>
      </c>
      <c r="Y81" s="244">
        <f>[1]Лист10!N52</f>
        <v>0</v>
      </c>
      <c r="Z81" s="244">
        <f>[1]Лист10!N42</f>
        <v>2052317.06</v>
      </c>
      <c r="AA81" s="244">
        <v>0</v>
      </c>
      <c r="AB81" s="240" t="s">
        <v>51</v>
      </c>
    </row>
    <row r="82" spans="1:28">
      <c r="A82" s="884" t="s">
        <v>77</v>
      </c>
      <c r="B82" s="885">
        <v>2400</v>
      </c>
      <c r="C82" s="885" t="s">
        <v>52</v>
      </c>
      <c r="D82" s="885" t="s">
        <v>25</v>
      </c>
      <c r="E82" s="902" t="s">
        <v>51</v>
      </c>
      <c r="F82" s="553"/>
      <c r="G82" s="553"/>
      <c r="H82" s="553"/>
      <c r="I82" s="553"/>
      <c r="J82" s="553"/>
      <c r="K82" s="553"/>
      <c r="L82" s="553"/>
      <c r="M82" s="553"/>
      <c r="N82" s="553"/>
      <c r="O82" s="553"/>
      <c r="P82" s="553"/>
      <c r="Q82" s="553"/>
      <c r="R82" s="553"/>
      <c r="S82" s="553"/>
      <c r="T82" s="904" t="s">
        <v>51</v>
      </c>
      <c r="U82" s="900"/>
      <c r="V82" s="900"/>
      <c r="W82" s="900"/>
      <c r="X82" s="904" t="s">
        <v>51</v>
      </c>
      <c r="Y82" s="900"/>
      <c r="Z82" s="900"/>
      <c r="AA82" s="900"/>
      <c r="AB82" s="886" t="s">
        <v>51</v>
      </c>
    </row>
    <row r="83" spans="1:28">
      <c r="A83" s="884"/>
      <c r="B83" s="885"/>
      <c r="C83" s="885"/>
      <c r="D83" s="885"/>
      <c r="E83" s="903"/>
      <c r="F83" s="553"/>
      <c r="G83" s="553"/>
      <c r="H83" s="553"/>
      <c r="I83" s="553"/>
      <c r="J83" s="553"/>
      <c r="K83" s="553"/>
      <c r="L83" s="553"/>
      <c r="M83" s="553"/>
      <c r="N83" s="553"/>
      <c r="O83" s="553"/>
      <c r="P83" s="553"/>
      <c r="Q83" s="553"/>
      <c r="R83" s="553"/>
      <c r="S83" s="553"/>
      <c r="T83" s="904"/>
      <c r="U83" s="900"/>
      <c r="V83" s="900"/>
      <c r="W83" s="900"/>
      <c r="X83" s="904"/>
      <c r="Y83" s="900"/>
      <c r="Z83" s="900"/>
      <c r="AA83" s="900"/>
      <c r="AB83" s="886"/>
    </row>
    <row r="84" spans="1:28">
      <c r="A84" s="348" t="s">
        <v>58</v>
      </c>
      <c r="B84" s="885">
        <v>2410</v>
      </c>
      <c r="C84" s="885">
        <v>613</v>
      </c>
      <c r="D84" s="885" t="s">
        <v>25</v>
      </c>
      <c r="E84" s="902" t="s">
        <v>51</v>
      </c>
      <c r="F84" s="553"/>
      <c r="G84" s="553"/>
      <c r="H84" s="553"/>
      <c r="I84" s="553"/>
      <c r="J84" s="553"/>
      <c r="K84" s="553"/>
      <c r="L84" s="553"/>
      <c r="M84" s="553"/>
      <c r="N84" s="553"/>
      <c r="O84" s="553"/>
      <c r="P84" s="553"/>
      <c r="Q84" s="553"/>
      <c r="R84" s="553"/>
      <c r="S84" s="553"/>
      <c r="T84" s="904" t="s">
        <v>51</v>
      </c>
      <c r="U84" s="900"/>
      <c r="V84" s="900"/>
      <c r="W84" s="900"/>
      <c r="X84" s="904" t="s">
        <v>51</v>
      </c>
      <c r="Y84" s="900"/>
      <c r="Z84" s="900"/>
      <c r="AA84" s="900"/>
      <c r="AB84" s="886" t="s">
        <v>51</v>
      </c>
    </row>
    <row r="85" spans="1:28" ht="30">
      <c r="A85" s="348" t="s">
        <v>78</v>
      </c>
      <c r="B85" s="885"/>
      <c r="C85" s="885"/>
      <c r="D85" s="885"/>
      <c r="E85" s="903"/>
      <c r="F85" s="553"/>
      <c r="G85" s="553"/>
      <c r="H85" s="553"/>
      <c r="I85" s="553"/>
      <c r="J85" s="553"/>
      <c r="K85" s="553"/>
      <c r="L85" s="553"/>
      <c r="M85" s="553"/>
      <c r="N85" s="553"/>
      <c r="O85" s="553"/>
      <c r="P85" s="553"/>
      <c r="Q85" s="553"/>
      <c r="R85" s="553"/>
      <c r="S85" s="553"/>
      <c r="T85" s="904"/>
      <c r="U85" s="900"/>
      <c r="V85" s="900"/>
      <c r="W85" s="900"/>
      <c r="X85" s="904"/>
      <c r="Y85" s="900"/>
      <c r="Z85" s="900"/>
      <c r="AA85" s="900"/>
      <c r="AB85" s="886"/>
    </row>
    <row r="86" spans="1:28" ht="20.25" customHeight="1">
      <c r="A86" s="884" t="s">
        <v>79</v>
      </c>
      <c r="B86" s="885">
        <v>2420</v>
      </c>
      <c r="C86" s="885">
        <v>623</v>
      </c>
      <c r="D86" s="885" t="s">
        <v>25</v>
      </c>
      <c r="E86" s="902" t="s">
        <v>51</v>
      </c>
      <c r="F86" s="553"/>
      <c r="G86" s="553"/>
      <c r="H86" s="553"/>
      <c r="I86" s="553"/>
      <c r="J86" s="553"/>
      <c r="K86" s="553"/>
      <c r="L86" s="553"/>
      <c r="M86" s="553"/>
      <c r="N86" s="553"/>
      <c r="O86" s="553"/>
      <c r="P86" s="553"/>
      <c r="Q86" s="553"/>
      <c r="R86" s="553"/>
      <c r="S86" s="553"/>
      <c r="T86" s="904" t="s">
        <v>51</v>
      </c>
      <c r="U86" s="900"/>
      <c r="V86" s="900"/>
      <c r="W86" s="900"/>
      <c r="X86" s="904" t="s">
        <v>51</v>
      </c>
      <c r="Y86" s="900"/>
      <c r="Z86" s="900"/>
      <c r="AA86" s="900"/>
      <c r="AB86" s="886" t="s">
        <v>51</v>
      </c>
    </row>
    <row r="87" spans="1:28" ht="20.25" customHeight="1">
      <c r="A87" s="884"/>
      <c r="B87" s="885"/>
      <c r="C87" s="885"/>
      <c r="D87" s="885"/>
      <c r="E87" s="903"/>
      <c r="F87" s="553"/>
      <c r="G87" s="553"/>
      <c r="H87" s="553"/>
      <c r="I87" s="553"/>
      <c r="J87" s="553"/>
      <c r="K87" s="553"/>
      <c r="L87" s="553"/>
      <c r="M87" s="553"/>
      <c r="N87" s="553"/>
      <c r="O87" s="553"/>
      <c r="P87" s="553"/>
      <c r="Q87" s="553"/>
      <c r="R87" s="553"/>
      <c r="S87" s="553"/>
      <c r="T87" s="904"/>
      <c r="U87" s="900"/>
      <c r="V87" s="900"/>
      <c r="W87" s="900"/>
      <c r="X87" s="904"/>
      <c r="Y87" s="900"/>
      <c r="Z87" s="900"/>
      <c r="AA87" s="900"/>
      <c r="AB87" s="886"/>
    </row>
    <row r="88" spans="1:28" ht="62.25" customHeight="1">
      <c r="A88" s="348" t="s">
        <v>80</v>
      </c>
      <c r="B88" s="349">
        <v>2430</v>
      </c>
      <c r="C88" s="349">
        <v>634</v>
      </c>
      <c r="D88" s="349" t="s">
        <v>25</v>
      </c>
      <c r="E88" s="355" t="s">
        <v>51</v>
      </c>
      <c r="F88" s="553"/>
      <c r="G88" s="553"/>
      <c r="H88" s="553"/>
      <c r="I88" s="553"/>
      <c r="J88" s="553"/>
      <c r="K88" s="553"/>
      <c r="L88" s="553"/>
      <c r="M88" s="553"/>
      <c r="N88" s="553"/>
      <c r="O88" s="553"/>
      <c r="P88" s="553"/>
      <c r="Q88" s="553"/>
      <c r="R88" s="553"/>
      <c r="S88" s="553"/>
      <c r="T88" s="355" t="s">
        <v>51</v>
      </c>
      <c r="U88" s="354"/>
      <c r="V88" s="354"/>
      <c r="W88" s="354"/>
      <c r="X88" s="355" t="s">
        <v>51</v>
      </c>
      <c r="Y88" s="354"/>
      <c r="Z88" s="354"/>
      <c r="AA88" s="354"/>
      <c r="AB88" s="350" t="s">
        <v>51</v>
      </c>
    </row>
    <row r="89" spans="1:28" ht="30">
      <c r="A89" s="348" t="s">
        <v>81</v>
      </c>
      <c r="B89" s="349">
        <v>2440</v>
      </c>
      <c r="C89" s="349">
        <v>810</v>
      </c>
      <c r="D89" s="349" t="s">
        <v>25</v>
      </c>
      <c r="E89" s="355" t="s">
        <v>51</v>
      </c>
      <c r="F89" s="553"/>
      <c r="G89" s="553"/>
      <c r="H89" s="553"/>
      <c r="I89" s="553"/>
      <c r="J89" s="553"/>
      <c r="K89" s="553"/>
      <c r="L89" s="553"/>
      <c r="M89" s="553"/>
      <c r="N89" s="553"/>
      <c r="O89" s="553"/>
      <c r="P89" s="553"/>
      <c r="Q89" s="553"/>
      <c r="R89" s="553"/>
      <c r="S89" s="553"/>
      <c r="T89" s="355" t="s">
        <v>51</v>
      </c>
      <c r="U89" s="354"/>
      <c r="V89" s="354"/>
      <c r="W89" s="354"/>
      <c r="X89" s="355" t="s">
        <v>51</v>
      </c>
      <c r="Y89" s="354"/>
      <c r="Z89" s="354"/>
      <c r="AA89" s="354"/>
      <c r="AB89" s="350" t="s">
        <v>51</v>
      </c>
    </row>
    <row r="90" spans="1:28">
      <c r="A90" s="348" t="s">
        <v>82</v>
      </c>
      <c r="B90" s="349">
        <v>2450</v>
      </c>
      <c r="C90" s="349">
        <v>862</v>
      </c>
      <c r="D90" s="349" t="s">
        <v>25</v>
      </c>
      <c r="E90" s="355" t="s">
        <v>51</v>
      </c>
      <c r="F90" s="553"/>
      <c r="G90" s="553"/>
      <c r="H90" s="553"/>
      <c r="I90" s="553"/>
      <c r="J90" s="553"/>
      <c r="K90" s="553"/>
      <c r="L90" s="553"/>
      <c r="M90" s="553"/>
      <c r="N90" s="553"/>
      <c r="O90" s="553"/>
      <c r="P90" s="553"/>
      <c r="Q90" s="553"/>
      <c r="R90" s="553"/>
      <c r="S90" s="553"/>
      <c r="T90" s="355" t="s">
        <v>51</v>
      </c>
      <c r="U90" s="354"/>
      <c r="V90" s="354"/>
      <c r="W90" s="354"/>
      <c r="X90" s="355" t="s">
        <v>51</v>
      </c>
      <c r="Y90" s="354"/>
      <c r="Z90" s="354"/>
      <c r="AA90" s="354"/>
      <c r="AB90" s="350" t="s">
        <v>51</v>
      </c>
    </row>
    <row r="91" spans="1:28" ht="60">
      <c r="A91" s="348" t="s">
        <v>83</v>
      </c>
      <c r="B91" s="349">
        <v>2460</v>
      </c>
      <c r="C91" s="349">
        <v>863</v>
      </c>
      <c r="D91" s="349" t="s">
        <v>25</v>
      </c>
      <c r="E91" s="355" t="s">
        <v>51</v>
      </c>
      <c r="F91" s="553"/>
      <c r="G91" s="553"/>
      <c r="H91" s="553"/>
      <c r="I91" s="553"/>
      <c r="J91" s="553"/>
      <c r="K91" s="553"/>
      <c r="L91" s="553"/>
      <c r="M91" s="553"/>
      <c r="N91" s="553"/>
      <c r="O91" s="553"/>
      <c r="P91" s="553"/>
      <c r="Q91" s="553"/>
      <c r="R91" s="553"/>
      <c r="S91" s="553"/>
      <c r="T91" s="355" t="s">
        <v>51</v>
      </c>
      <c r="U91" s="354"/>
      <c r="V91" s="354"/>
      <c r="W91" s="354"/>
      <c r="X91" s="355" t="s">
        <v>51</v>
      </c>
      <c r="Y91" s="354"/>
      <c r="Z91" s="354"/>
      <c r="AA91" s="354"/>
      <c r="AB91" s="350" t="s">
        <v>51</v>
      </c>
    </row>
    <row r="92" spans="1:28">
      <c r="A92" s="884" t="s">
        <v>84</v>
      </c>
      <c r="B92" s="885">
        <v>2500</v>
      </c>
      <c r="C92" s="885" t="s">
        <v>25</v>
      </c>
      <c r="D92" s="885" t="s">
        <v>25</v>
      </c>
      <c r="E92" s="902">
        <v>0</v>
      </c>
      <c r="F92" s="553"/>
      <c r="G92" s="553"/>
      <c r="H92" s="553"/>
      <c r="I92" s="553"/>
      <c r="J92" s="553"/>
      <c r="K92" s="553"/>
      <c r="L92" s="553"/>
      <c r="M92" s="553"/>
      <c r="N92" s="553"/>
      <c r="O92" s="553"/>
      <c r="P92" s="553"/>
      <c r="Q92" s="553"/>
      <c r="R92" s="553"/>
      <c r="S92" s="553"/>
      <c r="T92" s="904">
        <v>0</v>
      </c>
      <c r="U92" s="900"/>
      <c r="V92" s="900"/>
      <c r="W92" s="900"/>
      <c r="X92" s="904">
        <v>0</v>
      </c>
      <c r="Y92" s="900"/>
      <c r="Z92" s="900"/>
      <c r="AA92" s="900"/>
      <c r="AB92" s="886" t="s">
        <v>51</v>
      </c>
    </row>
    <row r="93" spans="1:28">
      <c r="A93" s="884"/>
      <c r="B93" s="885"/>
      <c r="C93" s="885"/>
      <c r="D93" s="885"/>
      <c r="E93" s="903"/>
      <c r="F93" s="553"/>
      <c r="G93" s="553"/>
      <c r="H93" s="553"/>
      <c r="I93" s="553"/>
      <c r="J93" s="553"/>
      <c r="K93" s="553"/>
      <c r="L93" s="553"/>
      <c r="M93" s="553"/>
      <c r="N93" s="553"/>
      <c r="O93" s="553"/>
      <c r="P93" s="553"/>
      <c r="Q93" s="553"/>
      <c r="R93" s="553"/>
      <c r="S93" s="553"/>
      <c r="T93" s="904"/>
      <c r="U93" s="900"/>
      <c r="V93" s="900"/>
      <c r="W93" s="900"/>
      <c r="X93" s="904"/>
      <c r="Y93" s="900"/>
      <c r="Z93" s="900"/>
      <c r="AA93" s="900"/>
      <c r="AB93" s="886"/>
    </row>
    <row r="94" spans="1:28" ht="90">
      <c r="A94" s="348" t="s">
        <v>85</v>
      </c>
      <c r="B94" s="349">
        <v>2520</v>
      </c>
      <c r="C94" s="349">
        <v>831</v>
      </c>
      <c r="D94" s="349" t="s">
        <v>25</v>
      </c>
      <c r="E94" s="349" t="s">
        <v>51</v>
      </c>
      <c r="F94" s="553"/>
      <c r="G94" s="553"/>
      <c r="H94" s="553"/>
      <c r="I94" s="553"/>
      <c r="J94" s="553"/>
      <c r="K94" s="553"/>
      <c r="L94" s="553"/>
      <c r="M94" s="553"/>
      <c r="N94" s="553"/>
      <c r="O94" s="553"/>
      <c r="P94" s="553"/>
      <c r="Q94" s="553"/>
      <c r="R94" s="553"/>
      <c r="S94" s="553"/>
      <c r="T94" s="349" t="s">
        <v>51</v>
      </c>
      <c r="U94" s="354"/>
      <c r="V94" s="354"/>
      <c r="W94" s="354"/>
      <c r="X94" s="349" t="s">
        <v>51</v>
      </c>
      <c r="Y94" s="354"/>
      <c r="Z94" s="354"/>
      <c r="AA94" s="354"/>
      <c r="AB94" s="350" t="s">
        <v>51</v>
      </c>
    </row>
    <row r="95" spans="1:28">
      <c r="A95" s="884" t="s">
        <v>86</v>
      </c>
      <c r="B95" s="885">
        <v>2600</v>
      </c>
      <c r="C95" s="885" t="s">
        <v>25</v>
      </c>
      <c r="D95" s="885" t="s">
        <v>25</v>
      </c>
      <c r="E95" s="902">
        <f>E101</f>
        <v>24773028.460000001</v>
      </c>
      <c r="F95" s="546"/>
      <c r="G95" s="546"/>
      <c r="H95" s="546"/>
      <c r="I95" s="546"/>
      <c r="J95" s="546"/>
      <c r="K95" s="546"/>
      <c r="L95" s="546"/>
      <c r="M95" s="546"/>
      <c r="N95" s="546"/>
      <c r="O95" s="546"/>
      <c r="P95" s="546"/>
      <c r="Q95" s="546"/>
      <c r="R95" s="546"/>
      <c r="S95" s="546"/>
      <c r="T95" s="904">
        <f>T101</f>
        <v>16401748.98</v>
      </c>
      <c r="U95" s="905"/>
      <c r="V95" s="905"/>
      <c r="W95" s="905"/>
      <c r="X95" s="904">
        <f>X101</f>
        <v>16650458</v>
      </c>
      <c r="Y95" s="905"/>
      <c r="Z95" s="905"/>
      <c r="AA95" s="905"/>
      <c r="AB95" s="886" t="s">
        <v>51</v>
      </c>
    </row>
    <row r="96" spans="1:28">
      <c r="A96" s="901"/>
      <c r="B96" s="885"/>
      <c r="C96" s="885"/>
      <c r="D96" s="885"/>
      <c r="E96" s="903"/>
      <c r="F96" s="546"/>
      <c r="G96" s="546"/>
      <c r="H96" s="546"/>
      <c r="I96" s="546"/>
      <c r="J96" s="546"/>
      <c r="K96" s="546"/>
      <c r="L96" s="546"/>
      <c r="M96" s="546"/>
      <c r="N96" s="546"/>
      <c r="O96" s="546"/>
      <c r="P96" s="546"/>
      <c r="Q96" s="546"/>
      <c r="R96" s="546"/>
      <c r="S96" s="546"/>
      <c r="T96" s="904"/>
      <c r="U96" s="905"/>
      <c r="V96" s="905"/>
      <c r="W96" s="905"/>
      <c r="X96" s="904"/>
      <c r="Y96" s="905"/>
      <c r="Z96" s="905"/>
      <c r="AA96" s="905"/>
      <c r="AB96" s="886"/>
    </row>
    <row r="97" spans="1:28">
      <c r="A97" s="366" t="s">
        <v>30</v>
      </c>
      <c r="B97" s="898">
        <v>2610</v>
      </c>
      <c r="C97" s="885">
        <v>241</v>
      </c>
      <c r="D97" s="885" t="s">
        <v>25</v>
      </c>
      <c r="E97" s="896" t="s">
        <v>51</v>
      </c>
      <c r="F97" s="546"/>
      <c r="G97" s="546"/>
      <c r="H97" s="546"/>
      <c r="I97" s="546"/>
      <c r="J97" s="546"/>
      <c r="K97" s="546"/>
      <c r="L97" s="546"/>
      <c r="M97" s="546"/>
      <c r="N97" s="546"/>
      <c r="O97" s="546"/>
      <c r="P97" s="546"/>
      <c r="Q97" s="546"/>
      <c r="R97" s="546"/>
      <c r="S97" s="546"/>
      <c r="T97" s="885" t="s">
        <v>51</v>
      </c>
      <c r="U97" s="899"/>
      <c r="V97" s="367"/>
      <c r="W97" s="367"/>
      <c r="X97" s="885" t="s">
        <v>51</v>
      </c>
      <c r="Y97" s="899"/>
      <c r="Z97" s="367"/>
      <c r="AA97" s="367"/>
      <c r="AB97" s="886" t="s">
        <v>51</v>
      </c>
    </row>
    <row r="98" spans="1:28" ht="30">
      <c r="A98" s="368" t="s">
        <v>87</v>
      </c>
      <c r="B98" s="898"/>
      <c r="C98" s="885"/>
      <c r="D98" s="885"/>
      <c r="E98" s="897"/>
      <c r="F98" s="546"/>
      <c r="G98" s="546"/>
      <c r="H98" s="546"/>
      <c r="I98" s="546"/>
      <c r="J98" s="546"/>
      <c r="K98" s="546"/>
      <c r="L98" s="546"/>
      <c r="M98" s="546"/>
      <c r="N98" s="546"/>
      <c r="O98" s="546"/>
      <c r="P98" s="546"/>
      <c r="Q98" s="546"/>
      <c r="R98" s="546"/>
      <c r="S98" s="546"/>
      <c r="T98" s="885"/>
      <c r="U98" s="899"/>
      <c r="V98" s="367"/>
      <c r="W98" s="367"/>
      <c r="X98" s="885"/>
      <c r="Y98" s="899"/>
      <c r="Z98" s="367"/>
      <c r="AA98" s="367"/>
      <c r="AB98" s="886"/>
    </row>
    <row r="99" spans="1:28">
      <c r="A99" s="895" t="s">
        <v>7</v>
      </c>
      <c r="B99" s="885">
        <v>2630</v>
      </c>
      <c r="C99" s="885">
        <v>243</v>
      </c>
      <c r="D99" s="885" t="s">
        <v>25</v>
      </c>
      <c r="E99" s="896" t="s">
        <v>51</v>
      </c>
      <c r="F99" s="546"/>
      <c r="G99" s="546"/>
      <c r="H99" s="546"/>
      <c r="I99" s="546"/>
      <c r="J99" s="546"/>
      <c r="K99" s="546"/>
      <c r="L99" s="546"/>
      <c r="M99" s="546"/>
      <c r="N99" s="546"/>
      <c r="O99" s="546"/>
      <c r="P99" s="546"/>
      <c r="Q99" s="546"/>
      <c r="R99" s="546"/>
      <c r="S99" s="546"/>
      <c r="T99" s="885" t="s">
        <v>51</v>
      </c>
      <c r="U99" s="367"/>
      <c r="V99" s="367"/>
      <c r="W99" s="367"/>
      <c r="X99" s="885" t="s">
        <v>51</v>
      </c>
      <c r="Y99" s="367"/>
      <c r="Z99" s="367"/>
      <c r="AA99" s="367"/>
      <c r="AB99" s="886" t="s">
        <v>51</v>
      </c>
    </row>
    <row r="100" spans="1:28" ht="30" customHeight="1">
      <c r="A100" s="884"/>
      <c r="B100" s="885"/>
      <c r="C100" s="885"/>
      <c r="D100" s="885"/>
      <c r="E100" s="897"/>
      <c r="F100" s="546"/>
      <c r="G100" s="546"/>
      <c r="H100" s="546"/>
      <c r="I100" s="546"/>
      <c r="J100" s="546"/>
      <c r="K100" s="546"/>
      <c r="L100" s="546"/>
      <c r="M100" s="546"/>
      <c r="N100" s="546"/>
      <c r="O100" s="546"/>
      <c r="P100" s="546"/>
      <c r="Q100" s="546"/>
      <c r="R100" s="546"/>
      <c r="S100" s="546"/>
      <c r="T100" s="885"/>
      <c r="U100" s="367"/>
      <c r="V100" s="367"/>
      <c r="W100" s="367"/>
      <c r="X100" s="885"/>
      <c r="Y100" s="367"/>
      <c r="Z100" s="367"/>
      <c r="AA100" s="367"/>
      <c r="AB100" s="886"/>
    </row>
    <row r="101" spans="1:28" s="35" customFormat="1" ht="30">
      <c r="A101" s="356" t="s">
        <v>505</v>
      </c>
      <c r="B101" s="357">
        <v>2640</v>
      </c>
      <c r="C101" s="357">
        <v>244</v>
      </c>
      <c r="D101" s="361" t="s">
        <v>529</v>
      </c>
      <c r="E101" s="360">
        <f>SUM(E103:E110)</f>
        <v>24773028.460000001</v>
      </c>
      <c r="F101" s="524"/>
      <c r="G101" s="524"/>
      <c r="H101" s="524"/>
      <c r="I101" s="524"/>
      <c r="J101" s="524"/>
      <c r="K101" s="524"/>
      <c r="L101" s="524"/>
      <c r="M101" s="524"/>
      <c r="N101" s="524"/>
      <c r="O101" s="524"/>
      <c r="P101" s="524"/>
      <c r="Q101" s="524"/>
      <c r="R101" s="524"/>
      <c r="S101" s="524"/>
      <c r="T101" s="360">
        <f t="shared" ref="T101:X101" si="9">SUM(T103:T110)</f>
        <v>16401748.98</v>
      </c>
      <c r="U101" s="360">
        <f t="shared" si="9"/>
        <v>0</v>
      </c>
      <c r="V101" s="360">
        <f t="shared" si="9"/>
        <v>0</v>
      </c>
      <c r="W101" s="360">
        <f t="shared" si="9"/>
        <v>0</v>
      </c>
      <c r="X101" s="360">
        <f t="shared" si="9"/>
        <v>16650458</v>
      </c>
      <c r="Y101" s="36">
        <f>[1]Лист10!R96+[1]Лист10!N120+[1]Лист11!O46+[1]Лист11!O69+[1]Лист12!K14+[1]Лист12!L110+[1]Лист12!L295</f>
        <v>4781922.4400000004</v>
      </c>
      <c r="Z101" s="36">
        <f>[1]Лист10!R84+[1]Лист10!N109+[1]Лист10!N138+[1]Лист11!N19+[1]Лист11!O34+[1]Лист11!O59+[1]Лист12!N36+[1]Лист12!L52+[1]Лист12!L62+[1]Лист12!L243</f>
        <v>8148592.71</v>
      </c>
      <c r="AA101" s="36">
        <v>0</v>
      </c>
      <c r="AB101" s="359" t="s">
        <v>51</v>
      </c>
    </row>
    <row r="102" spans="1:28" s="234" customFormat="1" hidden="1">
      <c r="A102" s="227" t="s">
        <v>58</v>
      </c>
      <c r="B102" s="228" t="s">
        <v>25</v>
      </c>
      <c r="C102" s="228" t="s">
        <v>25</v>
      </c>
      <c r="D102" s="228" t="s">
        <v>25</v>
      </c>
      <c r="E102" s="229" t="s">
        <v>25</v>
      </c>
      <c r="F102" s="546"/>
      <c r="G102" s="546"/>
      <c r="H102" s="546"/>
      <c r="I102" s="546"/>
      <c r="J102" s="546"/>
      <c r="K102" s="546"/>
      <c r="L102" s="546"/>
      <c r="M102" s="546"/>
      <c r="N102" s="546"/>
      <c r="O102" s="546"/>
      <c r="P102" s="546"/>
      <c r="Q102" s="546"/>
      <c r="R102" s="546"/>
      <c r="S102" s="546"/>
      <c r="T102" s="229" t="s">
        <v>25</v>
      </c>
      <c r="U102" s="230"/>
      <c r="V102" s="230"/>
      <c r="W102" s="230"/>
      <c r="X102" s="231" t="s">
        <v>25</v>
      </c>
      <c r="Y102" s="232"/>
      <c r="Z102" s="230"/>
      <c r="AA102" s="230"/>
      <c r="AB102" s="233" t="s">
        <v>25</v>
      </c>
    </row>
    <row r="103" spans="1:28" s="150" customFormat="1" hidden="1">
      <c r="A103" s="235" t="s">
        <v>88</v>
      </c>
      <c r="B103" s="236">
        <v>2641</v>
      </c>
      <c r="C103" s="236">
        <v>244</v>
      </c>
      <c r="D103" s="236">
        <v>221</v>
      </c>
      <c r="E103" s="237">
        <f>218251.2+4000+2000-3681.12</f>
        <v>220570.08</v>
      </c>
      <c r="F103" s="560"/>
      <c r="G103" s="560"/>
      <c r="H103" s="560"/>
      <c r="I103" s="560"/>
      <c r="J103" s="560"/>
      <c r="K103" s="560"/>
      <c r="L103" s="560"/>
      <c r="M103" s="560"/>
      <c r="N103" s="560"/>
      <c r="O103" s="560"/>
      <c r="P103" s="560"/>
      <c r="Q103" s="560"/>
      <c r="R103" s="560"/>
      <c r="S103" s="560"/>
      <c r="T103" s="237">
        <f>244004.46</f>
        <v>244004.46</v>
      </c>
      <c r="U103" s="238"/>
      <c r="V103" s="238"/>
      <c r="W103" s="239"/>
      <c r="X103" s="237">
        <f>244004.46</f>
        <v>244004.46</v>
      </c>
      <c r="Y103" s="238">
        <v>181320</v>
      </c>
      <c r="Z103" s="238">
        <v>108464.16</v>
      </c>
      <c r="AA103" s="238">
        <v>0</v>
      </c>
      <c r="AB103" s="240" t="s">
        <v>51</v>
      </c>
    </row>
    <row r="104" spans="1:28" s="150" customFormat="1" hidden="1">
      <c r="A104" s="235" t="s">
        <v>89</v>
      </c>
      <c r="B104" s="236">
        <v>2641</v>
      </c>
      <c r="C104" s="236">
        <v>244</v>
      </c>
      <c r="D104" s="236">
        <v>222</v>
      </c>
      <c r="E104" s="237">
        <f>414733.03-100000+61695.23+70000+101267+68000+130000-56308.73+300000+138170.27-111400+30000+50000-24250</f>
        <v>1071906.8</v>
      </c>
      <c r="F104" s="560"/>
      <c r="G104" s="560"/>
      <c r="H104" s="560"/>
      <c r="I104" s="560"/>
      <c r="J104" s="560"/>
      <c r="K104" s="560"/>
      <c r="L104" s="560"/>
      <c r="M104" s="560"/>
      <c r="N104" s="560"/>
      <c r="O104" s="560"/>
      <c r="P104" s="560"/>
      <c r="Q104" s="560"/>
      <c r="R104" s="560"/>
      <c r="S104" s="560"/>
      <c r="T104" s="237">
        <f>248305.76</f>
        <v>248305.76</v>
      </c>
      <c r="U104" s="238"/>
      <c r="V104" s="238"/>
      <c r="W104" s="239"/>
      <c r="X104" s="237">
        <f>533965.76</f>
        <v>533965.76</v>
      </c>
      <c r="Y104" s="238">
        <v>405383.61</v>
      </c>
      <c r="Z104" s="238">
        <v>79311.92</v>
      </c>
      <c r="AA104" s="238">
        <v>0</v>
      </c>
      <c r="AB104" s="240" t="s">
        <v>51</v>
      </c>
    </row>
    <row r="105" spans="1:28" s="150" customFormat="1" hidden="1">
      <c r="A105" s="235" t="s">
        <v>90</v>
      </c>
      <c r="B105" s="236">
        <v>2641</v>
      </c>
      <c r="C105" s="236">
        <v>244</v>
      </c>
      <c r="D105" s="236">
        <v>223</v>
      </c>
      <c r="E105" s="237">
        <f>729381.03-729381.03+25000-25000</f>
        <v>0</v>
      </c>
      <c r="F105" s="560"/>
      <c r="G105" s="560"/>
      <c r="H105" s="560"/>
      <c r="I105" s="560"/>
      <c r="J105" s="560"/>
      <c r="K105" s="560"/>
      <c r="L105" s="560"/>
      <c r="M105" s="560"/>
      <c r="N105" s="560"/>
      <c r="O105" s="560"/>
      <c r="P105" s="560"/>
      <c r="Q105" s="560"/>
      <c r="R105" s="560"/>
      <c r="S105" s="560"/>
      <c r="T105" s="237">
        <f>736686.42-736686.42</f>
        <v>0</v>
      </c>
      <c r="U105" s="238"/>
      <c r="V105" s="238"/>
      <c r="W105" s="236"/>
      <c r="X105" s="237">
        <f>736686.42</f>
        <v>736686.42</v>
      </c>
      <c r="Y105" s="238">
        <v>0</v>
      </c>
      <c r="Z105" s="238">
        <v>2057755.88</v>
      </c>
      <c r="AA105" s="238">
        <v>0</v>
      </c>
      <c r="AB105" s="240" t="s">
        <v>51</v>
      </c>
    </row>
    <row r="106" spans="1:28" s="150" customFormat="1" ht="30" hidden="1">
      <c r="A106" s="235" t="s">
        <v>91</v>
      </c>
      <c r="B106" s="236">
        <v>2641</v>
      </c>
      <c r="C106" s="236">
        <v>244</v>
      </c>
      <c r="D106" s="236">
        <v>224</v>
      </c>
      <c r="E106" s="237">
        <f>12428476.8-1226265.62+1226265.62+729381.03+628219.2+80000+628219.2-478219.2-80000</f>
        <v>13936077.029999999</v>
      </c>
      <c r="F106" s="560"/>
      <c r="G106" s="560"/>
      <c r="H106" s="560"/>
      <c r="I106" s="560"/>
      <c r="J106" s="560"/>
      <c r="K106" s="560"/>
      <c r="L106" s="560"/>
      <c r="M106" s="560"/>
      <c r="N106" s="560"/>
      <c r="O106" s="560"/>
      <c r="P106" s="560"/>
      <c r="Q106" s="560"/>
      <c r="R106" s="560"/>
      <c r="S106" s="560"/>
      <c r="T106" s="237">
        <v>4721038.38</v>
      </c>
      <c r="U106" s="238"/>
      <c r="V106" s="238"/>
      <c r="W106" s="236"/>
      <c r="X106" s="237">
        <v>4721038.38</v>
      </c>
      <c r="Y106" s="238">
        <v>32196.28</v>
      </c>
      <c r="Z106" s="238">
        <v>1952688.71</v>
      </c>
      <c r="AA106" s="238">
        <v>0</v>
      </c>
      <c r="AB106" s="240" t="s">
        <v>51</v>
      </c>
    </row>
    <row r="107" spans="1:28" s="150" customFormat="1" ht="30" hidden="1">
      <c r="A107" s="235" t="s">
        <v>92</v>
      </c>
      <c r="B107" s="236">
        <v>2641</v>
      </c>
      <c r="C107" s="236">
        <v>244</v>
      </c>
      <c r="D107" s="236">
        <v>225</v>
      </c>
      <c r="E107" s="237">
        <f>196217.4+806319.83+25500+26800-30800+2817-31946.96-155524.53+6200+223388.1+5000-5750+5750-25000-10000-5000-7550-4150</f>
        <v>1022270.84</v>
      </c>
      <c r="F107" s="560"/>
      <c r="G107" s="560"/>
      <c r="H107" s="560"/>
      <c r="I107" s="560"/>
      <c r="J107" s="560"/>
      <c r="K107" s="560"/>
      <c r="L107" s="560"/>
      <c r="M107" s="560"/>
      <c r="N107" s="560"/>
      <c r="O107" s="560"/>
      <c r="P107" s="560"/>
      <c r="Q107" s="560"/>
      <c r="R107" s="560"/>
      <c r="S107" s="560"/>
      <c r="T107" s="237">
        <f>196217.36+806319.83+30652.21+999686.42</f>
        <v>2032875.82</v>
      </c>
      <c r="U107" s="238"/>
      <c r="V107" s="238"/>
      <c r="W107" s="236"/>
      <c r="X107" s="237">
        <f>196217.36+806319.83+27420</f>
        <v>1029957.19</v>
      </c>
      <c r="Y107" s="238">
        <v>32196.28</v>
      </c>
      <c r="Z107" s="238">
        <v>1952688.71</v>
      </c>
      <c r="AA107" s="238">
        <v>0</v>
      </c>
      <c r="AB107" s="240" t="s">
        <v>51</v>
      </c>
    </row>
    <row r="108" spans="1:28" s="150" customFormat="1" hidden="1">
      <c r="A108" s="235" t="s">
        <v>93</v>
      </c>
      <c r="B108" s="236">
        <v>2641</v>
      </c>
      <c r="C108" s="236">
        <v>244</v>
      </c>
      <c r="D108" s="236">
        <v>226</v>
      </c>
      <c r="E108" s="237">
        <f>3549021.56+609831.64+805000.81+2157994.38+100000-100000-392160.67-40000-112584.1+112584.1-21000+21000+112596.28-112596.28-12000+12000+6600-6600-193000+7500-10317-130000-183252.76-22967.02-388178.6+21080-10899.25-164+10261.98+651206.02-384216.39</f>
        <v>6056740.7000000002</v>
      </c>
      <c r="F108" s="560"/>
      <c r="G108" s="560"/>
      <c r="H108" s="560"/>
      <c r="I108" s="560">
        <f>J108+K108</f>
        <v>-800</v>
      </c>
      <c r="J108" s="560"/>
      <c r="K108" s="560">
        <v>-800</v>
      </c>
      <c r="L108" s="560"/>
      <c r="M108" s="560"/>
      <c r="N108" s="560"/>
      <c r="O108" s="560"/>
      <c r="P108" s="560"/>
      <c r="Q108" s="560"/>
      <c r="R108" s="560"/>
      <c r="S108" s="560"/>
      <c r="T108" s="237">
        <f>3563236.4+752914+805000.81+2015311.19-263000</f>
        <v>6873462.4000000004</v>
      </c>
      <c r="U108" s="238"/>
      <c r="V108" s="238"/>
      <c r="W108" s="236"/>
      <c r="X108" s="237">
        <f>3563125.16+706985.44+805000.81+2157994.38</f>
        <v>7233105.79</v>
      </c>
      <c r="Y108" s="238">
        <v>2742231.09</v>
      </c>
      <c r="Z108" s="238">
        <v>3644044.04</v>
      </c>
      <c r="AA108" s="238">
        <v>0</v>
      </c>
      <c r="AB108" s="240" t="s">
        <v>51</v>
      </c>
    </row>
    <row r="109" spans="1:28" s="150" customFormat="1" hidden="1">
      <c r="A109" s="235" t="s">
        <v>94</v>
      </c>
      <c r="B109" s="236">
        <v>2641</v>
      </c>
      <c r="C109" s="236">
        <v>244</v>
      </c>
      <c r="D109" s="236">
        <v>310</v>
      </c>
      <c r="E109" s="237">
        <f>200000+392160.67+370000-196952.42-16943.75</f>
        <v>748264.5</v>
      </c>
      <c r="F109" s="557"/>
      <c r="G109" s="557"/>
      <c r="H109" s="557"/>
      <c r="I109" s="557">
        <f>J109+K109</f>
        <v>-6000</v>
      </c>
      <c r="J109" s="557">
        <v>-6000</v>
      </c>
      <c r="K109" s="557"/>
      <c r="L109" s="557"/>
      <c r="M109" s="557"/>
      <c r="N109" s="557"/>
      <c r="O109" s="557"/>
      <c r="P109" s="557"/>
      <c r="Q109" s="557"/>
      <c r="R109" s="557"/>
      <c r="S109" s="557"/>
      <c r="T109" s="237">
        <v>200000</v>
      </c>
      <c r="U109" s="238"/>
      <c r="V109" s="238"/>
      <c r="W109" s="236"/>
      <c r="X109" s="237">
        <v>200000</v>
      </c>
      <c r="Y109" s="238">
        <v>76395.55</v>
      </c>
      <c r="Z109" s="238">
        <v>0</v>
      </c>
      <c r="AA109" s="238">
        <v>0</v>
      </c>
      <c r="AB109" s="240" t="s">
        <v>51</v>
      </c>
    </row>
    <row r="110" spans="1:28" s="150" customFormat="1" ht="30" hidden="1">
      <c r="A110" s="235" t="s">
        <v>95</v>
      </c>
      <c r="B110" s="236">
        <v>2641</v>
      </c>
      <c r="C110" s="236">
        <v>244</v>
      </c>
      <c r="D110" s="236">
        <v>340</v>
      </c>
      <c r="E110" s="237">
        <f>57300+29390.75+161755.91+574143.15+673324.2+151800+100000+112584.1-112584.1-112596.28+112596.28+13000+88178.6+2789+36732.17-80000+122299.25+4232-4232-8200-9000-779.46-10000+20000-122299.25-76078+4704-4704-7157.81</f>
        <v>1717198.51</v>
      </c>
      <c r="F110" s="557"/>
      <c r="G110" s="557"/>
      <c r="H110" s="557"/>
      <c r="I110" s="557"/>
      <c r="J110" s="557"/>
      <c r="K110" s="557"/>
      <c r="L110" s="557"/>
      <c r="M110" s="557"/>
      <c r="N110" s="557"/>
      <c r="O110" s="557"/>
      <c r="P110" s="557"/>
      <c r="Q110" s="557"/>
      <c r="R110" s="557"/>
      <c r="S110" s="557"/>
      <c r="T110" s="237">
        <f>57300+31448.11+178953.57+841952.34+620608.14+351800</f>
        <v>2082062.16</v>
      </c>
      <c r="U110" s="238"/>
      <c r="V110" s="238"/>
      <c r="W110" s="236"/>
      <c r="X110" s="237">
        <f>57300+33649.4+155779.22+679847.18+673324.2+351800</f>
        <v>1951700</v>
      </c>
      <c r="Y110" s="238">
        <v>51330</v>
      </c>
      <c r="Z110" s="238">
        <v>0</v>
      </c>
      <c r="AA110" s="238">
        <v>0</v>
      </c>
      <c r="AB110" s="240" t="s">
        <v>51</v>
      </c>
    </row>
    <row r="111" spans="1:28" s="120" customFormat="1" ht="24.75" customHeight="1">
      <c r="A111" s="348" t="s">
        <v>506</v>
      </c>
      <c r="B111" s="620">
        <v>2650</v>
      </c>
      <c r="C111" s="620">
        <v>247</v>
      </c>
      <c r="D111" s="349" t="s">
        <v>25</v>
      </c>
      <c r="E111" s="349" t="s">
        <v>51</v>
      </c>
      <c r="F111" s="546"/>
      <c r="G111" s="546"/>
      <c r="H111" s="546"/>
      <c r="I111" s="546"/>
      <c r="J111" s="546"/>
      <c r="K111" s="546"/>
      <c r="L111" s="546"/>
      <c r="M111" s="546"/>
      <c r="N111" s="546"/>
      <c r="O111" s="546"/>
      <c r="P111" s="546"/>
      <c r="Q111" s="546"/>
      <c r="R111" s="546"/>
      <c r="S111" s="546"/>
      <c r="T111" s="349" t="s">
        <v>51</v>
      </c>
      <c r="U111" s="39"/>
      <c r="V111" s="367"/>
      <c r="W111" s="367"/>
      <c r="X111" s="349" t="s">
        <v>51</v>
      </c>
      <c r="Y111" s="39"/>
      <c r="Z111" s="367"/>
      <c r="AA111" s="367"/>
      <c r="AB111" s="350" t="s">
        <v>51</v>
      </c>
    </row>
    <row r="112" spans="1:28" ht="30">
      <c r="A112" s="348" t="s">
        <v>96</v>
      </c>
      <c r="B112" s="620">
        <v>2700</v>
      </c>
      <c r="C112" s="620">
        <v>400</v>
      </c>
      <c r="D112" s="349" t="s">
        <v>25</v>
      </c>
      <c r="E112" s="349" t="s">
        <v>51</v>
      </c>
      <c r="F112" s="546"/>
      <c r="G112" s="546"/>
      <c r="H112" s="546"/>
      <c r="I112" s="546"/>
      <c r="J112" s="546"/>
      <c r="K112" s="546"/>
      <c r="L112" s="546"/>
      <c r="M112" s="546"/>
      <c r="N112" s="546"/>
      <c r="O112" s="546"/>
      <c r="P112" s="546"/>
      <c r="Q112" s="546"/>
      <c r="R112" s="546"/>
      <c r="S112" s="546"/>
      <c r="T112" s="349" t="s">
        <v>51</v>
      </c>
      <c r="U112" s="39"/>
      <c r="V112" s="367"/>
      <c r="W112" s="367"/>
      <c r="X112" s="349" t="s">
        <v>51</v>
      </c>
      <c r="Y112" s="39"/>
      <c r="Z112" s="367"/>
      <c r="AA112" s="367"/>
      <c r="AB112" s="350" t="s">
        <v>51</v>
      </c>
    </row>
    <row r="113" spans="1:28" ht="45">
      <c r="A113" s="348" t="s">
        <v>97</v>
      </c>
      <c r="B113" s="620">
        <v>2710</v>
      </c>
      <c r="C113" s="620">
        <v>406</v>
      </c>
      <c r="D113" s="349" t="s">
        <v>25</v>
      </c>
      <c r="E113" s="349" t="s">
        <v>51</v>
      </c>
      <c r="F113" s="546"/>
      <c r="G113" s="546"/>
      <c r="H113" s="546"/>
      <c r="I113" s="546"/>
      <c r="J113" s="546"/>
      <c r="K113" s="546"/>
      <c r="L113" s="546"/>
      <c r="M113" s="546"/>
      <c r="N113" s="546"/>
      <c r="O113" s="546"/>
      <c r="P113" s="546"/>
      <c r="Q113" s="546"/>
      <c r="R113" s="546"/>
      <c r="S113" s="546"/>
      <c r="T113" s="349" t="s">
        <v>51</v>
      </c>
      <c r="U113" s="39"/>
      <c r="V113" s="367"/>
      <c r="W113" s="367"/>
      <c r="X113" s="349" t="s">
        <v>51</v>
      </c>
      <c r="Y113" s="39"/>
      <c r="Z113" s="367"/>
      <c r="AA113" s="367"/>
      <c r="AB113" s="350" t="s">
        <v>51</v>
      </c>
    </row>
    <row r="114" spans="1:28" ht="45">
      <c r="A114" s="348" t="s">
        <v>98</v>
      </c>
      <c r="B114" s="620">
        <v>2720</v>
      </c>
      <c r="C114" s="620">
        <v>407</v>
      </c>
      <c r="D114" s="349" t="s">
        <v>25</v>
      </c>
      <c r="E114" s="349" t="s">
        <v>51</v>
      </c>
      <c r="F114" s="546"/>
      <c r="G114" s="546"/>
      <c r="H114" s="546"/>
      <c r="I114" s="546"/>
      <c r="J114" s="546"/>
      <c r="K114" s="546"/>
      <c r="L114" s="546"/>
      <c r="M114" s="546"/>
      <c r="N114" s="546"/>
      <c r="O114" s="546"/>
      <c r="P114" s="546"/>
      <c r="Q114" s="546"/>
      <c r="R114" s="546"/>
      <c r="S114" s="546"/>
      <c r="T114" s="349" t="s">
        <v>51</v>
      </c>
      <c r="U114" s="39"/>
      <c r="V114" s="367"/>
      <c r="W114" s="367"/>
      <c r="X114" s="349" t="s">
        <v>51</v>
      </c>
      <c r="Y114" s="39"/>
      <c r="Z114" s="367"/>
      <c r="AA114" s="367"/>
      <c r="AB114" s="350" t="s">
        <v>51</v>
      </c>
    </row>
    <row r="115" spans="1:28" s="120" customFormat="1">
      <c r="A115" s="877" t="s">
        <v>940</v>
      </c>
      <c r="B115" s="881">
        <v>2800</v>
      </c>
      <c r="C115" s="881">
        <v>880</v>
      </c>
      <c r="D115" s="878" t="s">
        <v>25</v>
      </c>
      <c r="E115" s="878" t="s">
        <v>51</v>
      </c>
      <c r="F115" s="546"/>
      <c r="G115" s="546"/>
      <c r="H115" s="546"/>
      <c r="I115" s="546"/>
      <c r="J115" s="546"/>
      <c r="K115" s="546"/>
      <c r="L115" s="546"/>
      <c r="M115" s="546"/>
      <c r="N115" s="546"/>
      <c r="O115" s="546"/>
      <c r="P115" s="546"/>
      <c r="Q115" s="546"/>
      <c r="R115" s="546"/>
      <c r="S115" s="546"/>
      <c r="T115" s="878" t="s">
        <v>51</v>
      </c>
      <c r="U115" s="39"/>
      <c r="V115" s="880"/>
      <c r="W115" s="880"/>
      <c r="X115" s="878" t="s">
        <v>51</v>
      </c>
      <c r="Y115" s="39"/>
      <c r="Z115" s="880"/>
      <c r="AA115" s="880"/>
      <c r="AB115" s="879" t="s">
        <v>51</v>
      </c>
    </row>
    <row r="116" spans="1:28">
      <c r="A116" s="884" t="s">
        <v>50</v>
      </c>
      <c r="B116" s="885">
        <v>3000</v>
      </c>
      <c r="C116" s="885">
        <v>100</v>
      </c>
      <c r="D116" s="886" t="s">
        <v>25</v>
      </c>
      <c r="E116" s="891">
        <f>E122</f>
        <v>-105973</v>
      </c>
      <c r="F116" s="554"/>
      <c r="G116" s="554"/>
      <c r="H116" s="554"/>
      <c r="I116" s="554"/>
      <c r="J116" s="554"/>
      <c r="K116" s="554"/>
      <c r="L116" s="554"/>
      <c r="M116" s="554"/>
      <c r="N116" s="554"/>
      <c r="O116" s="554"/>
      <c r="P116" s="554"/>
      <c r="Q116" s="554"/>
      <c r="R116" s="554"/>
      <c r="S116" s="554"/>
      <c r="T116" s="886" t="s">
        <v>51</v>
      </c>
      <c r="U116" s="350"/>
      <c r="V116" s="350"/>
      <c r="W116" s="350"/>
      <c r="X116" s="886" t="s">
        <v>51</v>
      </c>
      <c r="Y116" s="349"/>
      <c r="Z116" s="349"/>
      <c r="AA116" s="349"/>
      <c r="AB116" s="886" t="s">
        <v>25</v>
      </c>
    </row>
    <row r="117" spans="1:28">
      <c r="A117" s="884"/>
      <c r="B117" s="885"/>
      <c r="C117" s="885"/>
      <c r="D117" s="886"/>
      <c r="E117" s="892"/>
      <c r="F117" s="554"/>
      <c r="G117" s="554"/>
      <c r="H117" s="554"/>
      <c r="I117" s="554"/>
      <c r="J117" s="554"/>
      <c r="K117" s="554"/>
      <c r="L117" s="554"/>
      <c r="M117" s="554"/>
      <c r="N117" s="554"/>
      <c r="O117" s="554"/>
      <c r="P117" s="554"/>
      <c r="Q117" s="554"/>
      <c r="R117" s="554"/>
      <c r="S117" s="554"/>
      <c r="T117" s="886"/>
      <c r="U117" s="350"/>
      <c r="V117" s="350"/>
      <c r="W117" s="350"/>
      <c r="X117" s="886"/>
      <c r="Y117" s="349"/>
      <c r="Z117" s="349"/>
      <c r="AA117" s="349"/>
      <c r="AB117" s="886"/>
    </row>
    <row r="118" spans="1:28" s="196" customFormat="1" hidden="1">
      <c r="A118" s="191" t="s">
        <v>30</v>
      </c>
      <c r="B118" s="214" t="s">
        <v>25</v>
      </c>
      <c r="C118" s="214" t="s">
        <v>25</v>
      </c>
      <c r="D118" s="195" t="s">
        <v>25</v>
      </c>
      <c r="E118" s="195" t="s">
        <v>25</v>
      </c>
      <c r="F118" s="554"/>
      <c r="G118" s="554"/>
      <c r="H118" s="554"/>
      <c r="I118" s="554"/>
      <c r="J118" s="554"/>
      <c r="K118" s="554"/>
      <c r="L118" s="554"/>
      <c r="M118" s="554"/>
      <c r="N118" s="554"/>
      <c r="O118" s="554"/>
      <c r="P118" s="554"/>
      <c r="Q118" s="554"/>
      <c r="R118" s="554"/>
      <c r="S118" s="554"/>
      <c r="T118" s="195" t="s">
        <v>25</v>
      </c>
      <c r="U118" s="195"/>
      <c r="V118" s="195"/>
      <c r="W118" s="195"/>
      <c r="X118" s="195" t="s">
        <v>25</v>
      </c>
      <c r="Y118" s="192"/>
      <c r="Z118" s="192"/>
      <c r="AA118" s="192"/>
      <c r="AB118" s="195" t="s">
        <v>25</v>
      </c>
    </row>
    <row r="119" spans="1:28" ht="30">
      <c r="A119" s="348" t="s">
        <v>507</v>
      </c>
      <c r="B119" s="349">
        <v>3010</v>
      </c>
      <c r="C119" s="349">
        <v>180</v>
      </c>
      <c r="D119" s="350" t="s">
        <v>25</v>
      </c>
      <c r="E119" s="350" t="s">
        <v>51</v>
      </c>
      <c r="F119" s="554"/>
      <c r="G119" s="554"/>
      <c r="H119" s="554"/>
      <c r="I119" s="554"/>
      <c r="J119" s="554"/>
      <c r="K119" s="554"/>
      <c r="L119" s="554"/>
      <c r="M119" s="554"/>
      <c r="N119" s="554"/>
      <c r="O119" s="554"/>
      <c r="P119" s="554"/>
      <c r="Q119" s="554"/>
      <c r="R119" s="554"/>
      <c r="S119" s="554"/>
      <c r="T119" s="350" t="s">
        <v>51</v>
      </c>
      <c r="U119" s="350"/>
      <c r="V119" s="350"/>
      <c r="W119" s="350"/>
      <c r="X119" s="350" t="s">
        <v>51</v>
      </c>
      <c r="Y119" s="349"/>
      <c r="Z119" s="349"/>
      <c r="AA119" s="349"/>
      <c r="AB119" s="350" t="s">
        <v>25</v>
      </c>
    </row>
    <row r="120" spans="1:28" ht="7.5" customHeight="1">
      <c r="A120" s="884" t="s">
        <v>99</v>
      </c>
      <c r="B120" s="885">
        <v>3020</v>
      </c>
      <c r="C120" s="885">
        <v>180</v>
      </c>
      <c r="D120" s="886" t="s">
        <v>25</v>
      </c>
      <c r="E120" s="893" t="s">
        <v>51</v>
      </c>
      <c r="F120" s="554"/>
      <c r="G120" s="554"/>
      <c r="H120" s="554"/>
      <c r="I120" s="554"/>
      <c r="J120" s="554"/>
      <c r="K120" s="554"/>
      <c r="L120" s="554"/>
      <c r="M120" s="554"/>
      <c r="N120" s="554"/>
      <c r="O120" s="554"/>
      <c r="P120" s="554"/>
      <c r="Q120" s="554"/>
      <c r="R120" s="554"/>
      <c r="S120" s="554"/>
      <c r="T120" s="886" t="s">
        <v>51</v>
      </c>
      <c r="U120" s="350"/>
      <c r="V120" s="350"/>
      <c r="W120" s="350"/>
      <c r="X120" s="886" t="s">
        <v>51</v>
      </c>
      <c r="Y120" s="349"/>
      <c r="Z120" s="349"/>
      <c r="AA120" s="349"/>
      <c r="AB120" s="886" t="s">
        <v>25</v>
      </c>
    </row>
    <row r="121" spans="1:28">
      <c r="A121" s="884"/>
      <c r="B121" s="885"/>
      <c r="C121" s="885"/>
      <c r="D121" s="886"/>
      <c r="E121" s="894"/>
      <c r="F121" s="554"/>
      <c r="G121" s="554"/>
      <c r="H121" s="554"/>
      <c r="I121" s="554"/>
      <c r="J121" s="554"/>
      <c r="K121" s="554"/>
      <c r="L121" s="554"/>
      <c r="M121" s="554"/>
      <c r="N121" s="554"/>
      <c r="O121" s="554"/>
      <c r="P121" s="554"/>
      <c r="Q121" s="554"/>
      <c r="R121" s="554"/>
      <c r="S121" s="554"/>
      <c r="T121" s="886"/>
      <c r="U121" s="350"/>
      <c r="V121" s="350"/>
      <c r="W121" s="350"/>
      <c r="X121" s="886"/>
      <c r="Y121" s="349"/>
      <c r="Z121" s="349"/>
      <c r="AA121" s="349"/>
      <c r="AB121" s="886"/>
    </row>
    <row r="122" spans="1:28" ht="9" customHeight="1">
      <c r="A122" s="884" t="s">
        <v>100</v>
      </c>
      <c r="B122" s="885">
        <v>3030</v>
      </c>
      <c r="C122" s="885">
        <v>180</v>
      </c>
      <c r="D122" s="886" t="s">
        <v>25</v>
      </c>
      <c r="E122" s="891">
        <f>-100000-100000+94027</f>
        <v>-105973</v>
      </c>
      <c r="F122" s="554"/>
      <c r="G122" s="554"/>
      <c r="H122" s="554"/>
      <c r="I122" s="554"/>
      <c r="J122" s="554"/>
      <c r="K122" s="554"/>
      <c r="L122" s="554"/>
      <c r="M122" s="554"/>
      <c r="N122" s="554"/>
      <c r="O122" s="554"/>
      <c r="P122" s="554"/>
      <c r="Q122" s="554"/>
      <c r="R122" s="554"/>
      <c r="S122" s="554"/>
      <c r="T122" s="886" t="s">
        <v>51</v>
      </c>
      <c r="U122" s="350"/>
      <c r="V122" s="350"/>
      <c r="W122" s="350"/>
      <c r="X122" s="886" t="s">
        <v>51</v>
      </c>
      <c r="Y122" s="349"/>
      <c r="Z122" s="349"/>
      <c r="AA122" s="349"/>
      <c r="AB122" s="886" t="s">
        <v>25</v>
      </c>
    </row>
    <row r="123" spans="1:28">
      <c r="A123" s="884"/>
      <c r="B123" s="885"/>
      <c r="C123" s="885"/>
      <c r="D123" s="886"/>
      <c r="E123" s="892"/>
      <c r="F123" s="554"/>
      <c r="G123" s="554"/>
      <c r="H123" s="554"/>
      <c r="I123" s="554"/>
      <c r="J123" s="554"/>
      <c r="K123" s="554"/>
      <c r="L123" s="554"/>
      <c r="M123" s="554"/>
      <c r="N123" s="554"/>
      <c r="O123" s="554"/>
      <c r="P123" s="554"/>
      <c r="Q123" s="554"/>
      <c r="R123" s="554"/>
      <c r="S123" s="554"/>
      <c r="T123" s="886"/>
      <c r="U123" s="350"/>
      <c r="V123" s="350"/>
      <c r="W123" s="350"/>
      <c r="X123" s="886"/>
      <c r="Y123" s="349"/>
      <c r="Z123" s="349"/>
      <c r="AA123" s="349"/>
      <c r="AB123" s="886"/>
    </row>
    <row r="124" spans="1:28">
      <c r="A124" s="348" t="s">
        <v>101</v>
      </c>
      <c r="B124" s="349">
        <v>4000</v>
      </c>
      <c r="C124" s="349" t="s">
        <v>25</v>
      </c>
      <c r="D124" s="350" t="s">
        <v>25</v>
      </c>
      <c r="E124" s="350" t="s">
        <v>51</v>
      </c>
      <c r="F124" s="554"/>
      <c r="G124" s="554"/>
      <c r="H124" s="554"/>
      <c r="I124" s="554"/>
      <c r="J124" s="554"/>
      <c r="K124" s="554"/>
      <c r="L124" s="554"/>
      <c r="M124" s="554"/>
      <c r="N124" s="554"/>
      <c r="O124" s="554"/>
      <c r="P124" s="554"/>
      <c r="Q124" s="554"/>
      <c r="R124" s="554"/>
      <c r="S124" s="554"/>
      <c r="T124" s="350" t="s">
        <v>51</v>
      </c>
      <c r="U124" s="350"/>
      <c r="V124" s="350"/>
      <c r="W124" s="350"/>
      <c r="X124" s="350" t="s">
        <v>51</v>
      </c>
      <c r="Y124" s="349"/>
      <c r="Z124" s="349"/>
      <c r="AA124" s="349"/>
      <c r="AB124" s="350" t="s">
        <v>25</v>
      </c>
    </row>
    <row r="125" spans="1:28" s="196" customFormat="1" hidden="1">
      <c r="A125" s="191" t="s">
        <v>58</v>
      </c>
      <c r="B125" s="214" t="s">
        <v>25</v>
      </c>
      <c r="C125" s="214" t="s">
        <v>25</v>
      </c>
      <c r="D125" s="195" t="s">
        <v>25</v>
      </c>
      <c r="E125" s="195" t="s">
        <v>25</v>
      </c>
      <c r="F125" s="554"/>
      <c r="G125" s="554"/>
      <c r="H125" s="554"/>
      <c r="I125" s="554"/>
      <c r="J125" s="554"/>
      <c r="K125" s="554"/>
      <c r="L125" s="554"/>
      <c r="M125" s="554"/>
      <c r="N125" s="554"/>
      <c r="O125" s="554"/>
      <c r="P125" s="554"/>
      <c r="Q125" s="554"/>
      <c r="R125" s="554"/>
      <c r="S125" s="554"/>
      <c r="T125" s="195" t="s">
        <v>25</v>
      </c>
      <c r="U125" s="195"/>
      <c r="V125" s="195"/>
      <c r="W125" s="195"/>
      <c r="X125" s="195" t="s">
        <v>25</v>
      </c>
      <c r="Y125" s="192"/>
      <c r="Z125" s="192"/>
      <c r="AA125" s="192"/>
      <c r="AB125" s="195" t="s">
        <v>25</v>
      </c>
    </row>
    <row r="126" spans="1:28" ht="30">
      <c r="A126" s="351" t="s">
        <v>508</v>
      </c>
      <c r="B126" s="349">
        <v>4010</v>
      </c>
      <c r="C126" s="349">
        <v>610</v>
      </c>
      <c r="D126" s="350" t="s">
        <v>25</v>
      </c>
      <c r="E126" s="350" t="s">
        <v>51</v>
      </c>
      <c r="F126" s="554"/>
      <c r="G126" s="554"/>
      <c r="H126" s="554"/>
      <c r="I126" s="554"/>
      <c r="J126" s="554"/>
      <c r="K126" s="554"/>
      <c r="L126" s="554"/>
      <c r="M126" s="554"/>
      <c r="N126" s="554"/>
      <c r="O126" s="554"/>
      <c r="P126" s="554"/>
      <c r="Q126" s="554"/>
      <c r="R126" s="554"/>
      <c r="S126" s="554"/>
      <c r="T126" s="350" t="s">
        <v>51</v>
      </c>
      <c r="U126" s="350"/>
      <c r="V126" s="350"/>
      <c r="W126" s="350"/>
      <c r="X126" s="350" t="s">
        <v>51</v>
      </c>
      <c r="Y126" s="349"/>
      <c r="Z126" s="349"/>
      <c r="AA126" s="349"/>
      <c r="AB126" s="350" t="s">
        <v>25</v>
      </c>
    </row>
    <row r="127" spans="1:28" ht="60">
      <c r="A127" s="351" t="s">
        <v>102</v>
      </c>
      <c r="B127" s="349">
        <v>4020</v>
      </c>
      <c r="C127" s="349">
        <v>610</v>
      </c>
      <c r="D127" s="350" t="s">
        <v>25</v>
      </c>
      <c r="E127" s="350" t="s">
        <v>51</v>
      </c>
      <c r="F127" s="554"/>
      <c r="G127" s="554"/>
      <c r="H127" s="554"/>
      <c r="I127" s="554"/>
      <c r="J127" s="554"/>
      <c r="K127" s="554"/>
      <c r="L127" s="554"/>
      <c r="M127" s="554"/>
      <c r="N127" s="554"/>
      <c r="O127" s="554"/>
      <c r="P127" s="554"/>
      <c r="Q127" s="554"/>
      <c r="R127" s="554"/>
      <c r="S127" s="554"/>
      <c r="T127" s="350" t="s">
        <v>51</v>
      </c>
      <c r="U127" s="350"/>
      <c r="V127" s="350"/>
      <c r="W127" s="350"/>
      <c r="X127" s="350" t="s">
        <v>51</v>
      </c>
      <c r="Y127" s="349"/>
      <c r="Z127" s="349"/>
      <c r="AA127" s="349"/>
      <c r="AB127" s="350" t="s">
        <v>25</v>
      </c>
    </row>
    <row r="128" spans="1:28">
      <c r="A128" s="42" t="s">
        <v>105</v>
      </c>
      <c r="E128" s="40"/>
      <c r="F128" s="525"/>
      <c r="G128" s="525"/>
      <c r="H128" s="525"/>
      <c r="I128" s="525"/>
      <c r="J128" s="525"/>
      <c r="K128" s="525"/>
      <c r="L128" s="525"/>
      <c r="M128" s="525"/>
      <c r="N128" s="525"/>
      <c r="O128" s="525"/>
      <c r="P128" s="525"/>
      <c r="Q128" s="525"/>
      <c r="R128" s="525"/>
      <c r="S128" s="525"/>
      <c r="T128" s="40"/>
      <c r="U128" s="40"/>
      <c r="V128" s="40"/>
      <c r="W128" s="40"/>
      <c r="X128" s="40"/>
      <c r="Y128" s="40"/>
      <c r="Z128" s="40"/>
      <c r="AA128" s="40"/>
      <c r="AB128" s="41"/>
    </row>
    <row r="129" spans="1:28">
      <c r="A129" s="42" t="s">
        <v>106</v>
      </c>
      <c r="E129" s="40"/>
      <c r="F129" s="525"/>
      <c r="G129" s="525"/>
      <c r="H129" s="525"/>
      <c r="I129" s="525"/>
      <c r="J129" s="525"/>
      <c r="K129" s="525"/>
      <c r="L129" s="525"/>
      <c r="M129" s="525"/>
      <c r="N129" s="525"/>
      <c r="O129" s="525"/>
      <c r="P129" s="525"/>
      <c r="Q129" s="525"/>
      <c r="R129" s="525"/>
      <c r="S129" s="525"/>
      <c r="T129" s="40"/>
      <c r="U129" s="40"/>
      <c r="V129" s="40"/>
      <c r="W129" s="40"/>
      <c r="X129" s="40"/>
      <c r="Y129" s="40"/>
      <c r="Z129" s="40"/>
      <c r="AA129" s="40"/>
      <c r="AB129" s="41"/>
    </row>
    <row r="130" spans="1:28">
      <c r="A130" s="42" t="s">
        <v>107</v>
      </c>
      <c r="E130" s="40"/>
      <c r="F130" s="525"/>
      <c r="G130" s="525"/>
      <c r="H130" s="525"/>
      <c r="I130" s="525"/>
      <c r="J130" s="525"/>
      <c r="K130" s="525"/>
      <c r="L130" s="525"/>
      <c r="M130" s="525"/>
      <c r="N130" s="525"/>
      <c r="O130" s="525"/>
      <c r="P130" s="525"/>
      <c r="Q130" s="525"/>
      <c r="R130" s="525"/>
      <c r="S130" s="525"/>
      <c r="T130" s="40"/>
      <c r="U130" s="40"/>
      <c r="V130" s="40"/>
      <c r="W130" s="40"/>
      <c r="X130" s="40"/>
      <c r="Y130" s="40"/>
      <c r="Z130" s="40"/>
      <c r="AA130" s="40"/>
      <c r="AB130" s="41"/>
    </row>
    <row r="131" spans="1:28">
      <c r="A131" s="43" t="s">
        <v>108</v>
      </c>
      <c r="E131" s="40"/>
      <c r="F131" s="525"/>
      <c r="G131" s="525"/>
      <c r="H131" s="525"/>
      <c r="I131" s="525"/>
      <c r="J131" s="525"/>
      <c r="K131" s="525"/>
      <c r="L131" s="525"/>
      <c r="M131" s="525"/>
      <c r="N131" s="525"/>
      <c r="O131" s="525"/>
      <c r="P131" s="525"/>
      <c r="Q131" s="525"/>
      <c r="R131" s="525"/>
      <c r="S131" s="525"/>
      <c r="T131" s="40"/>
      <c r="U131" s="40"/>
      <c r="V131" s="40"/>
      <c r="W131" s="40"/>
      <c r="X131" s="40"/>
      <c r="Y131" s="40"/>
      <c r="Z131" s="40"/>
      <c r="AA131" s="40"/>
      <c r="AB131" s="41"/>
    </row>
    <row r="132" spans="1:28">
      <c r="A132" s="43" t="s">
        <v>109</v>
      </c>
      <c r="E132" s="40"/>
      <c r="F132" s="525"/>
      <c r="G132" s="525"/>
      <c r="H132" s="525"/>
      <c r="I132" s="525"/>
      <c r="J132" s="525"/>
      <c r="K132" s="525"/>
      <c r="L132" s="525"/>
      <c r="M132" s="525"/>
      <c r="N132" s="525"/>
      <c r="O132" s="525"/>
      <c r="P132" s="525"/>
      <c r="Q132" s="525"/>
      <c r="R132" s="525"/>
      <c r="S132" s="525"/>
      <c r="T132" s="40"/>
      <c r="U132" s="40"/>
      <c r="V132" s="40"/>
      <c r="W132" s="40"/>
      <c r="X132" s="40"/>
      <c r="Y132" s="40"/>
      <c r="Z132" s="40"/>
      <c r="AA132" s="40"/>
      <c r="AB132" s="41"/>
    </row>
    <row r="133" spans="1:28">
      <c r="A133" s="43" t="s">
        <v>110</v>
      </c>
      <c r="E133" s="40"/>
      <c r="F133" s="525"/>
      <c r="G133" s="525"/>
      <c r="H133" s="525"/>
      <c r="I133" s="525"/>
      <c r="J133" s="525"/>
      <c r="K133" s="525"/>
      <c r="L133" s="525"/>
      <c r="M133" s="525"/>
      <c r="N133" s="525"/>
      <c r="O133" s="525"/>
      <c r="P133" s="525"/>
      <c r="Q133" s="525"/>
      <c r="R133" s="525"/>
      <c r="S133" s="525"/>
      <c r="T133" s="40"/>
      <c r="U133" s="40"/>
      <c r="V133" s="40"/>
      <c r="W133" s="40"/>
      <c r="X133" s="40"/>
      <c r="Y133" s="40"/>
      <c r="Z133" s="40"/>
      <c r="AA133" s="40"/>
      <c r="AB133" s="41"/>
    </row>
    <row r="134" spans="1:28">
      <c r="A134" s="43" t="s">
        <v>111</v>
      </c>
      <c r="E134" s="40"/>
      <c r="F134" s="525"/>
      <c r="G134" s="525"/>
      <c r="H134" s="525"/>
      <c r="I134" s="525"/>
      <c r="J134" s="525"/>
      <c r="K134" s="525"/>
      <c r="L134" s="525"/>
      <c r="M134" s="525"/>
      <c r="N134" s="525"/>
      <c r="O134" s="525"/>
      <c r="P134" s="525"/>
      <c r="Q134" s="525"/>
      <c r="R134" s="525"/>
      <c r="S134" s="525"/>
      <c r="T134" s="40"/>
      <c r="U134" s="40"/>
      <c r="V134" s="40"/>
      <c r="W134" s="40"/>
      <c r="X134" s="40"/>
      <c r="Y134" s="40"/>
      <c r="Z134" s="40"/>
      <c r="AA134" s="40"/>
      <c r="AB134" s="41"/>
    </row>
    <row r="135" spans="1:28">
      <c r="A135" s="43" t="s">
        <v>112</v>
      </c>
      <c r="E135" s="40"/>
      <c r="F135" s="525"/>
      <c r="G135" s="525"/>
      <c r="H135" s="525"/>
      <c r="I135" s="525"/>
      <c r="J135" s="525"/>
      <c r="K135" s="525"/>
      <c r="L135" s="525"/>
      <c r="M135" s="525"/>
      <c r="N135" s="525"/>
      <c r="O135" s="525"/>
      <c r="P135" s="525"/>
      <c r="Q135" s="525"/>
      <c r="R135" s="525"/>
      <c r="S135" s="525"/>
      <c r="T135" s="40"/>
      <c r="U135" s="40"/>
      <c r="V135" s="40"/>
      <c r="W135" s="40"/>
      <c r="X135" s="40"/>
      <c r="Y135" s="40"/>
      <c r="Z135" s="40"/>
      <c r="AA135" s="40"/>
      <c r="AB135" s="41"/>
    </row>
    <row r="136" spans="1:28">
      <c r="A136" s="42" t="s">
        <v>113</v>
      </c>
      <c r="E136" s="40"/>
      <c r="F136" s="525"/>
      <c r="G136" s="525"/>
      <c r="H136" s="525"/>
      <c r="I136" s="525"/>
      <c r="J136" s="525"/>
      <c r="K136" s="525"/>
      <c r="L136" s="525"/>
      <c r="M136" s="525"/>
      <c r="N136" s="525"/>
      <c r="O136" s="525"/>
      <c r="P136" s="525"/>
      <c r="Q136" s="525"/>
      <c r="R136" s="525"/>
      <c r="S136" s="525"/>
      <c r="T136" s="40"/>
      <c r="U136" s="40"/>
      <c r="V136" s="40"/>
      <c r="W136" s="40"/>
      <c r="X136" s="40"/>
      <c r="Y136" s="40"/>
      <c r="Z136" s="40"/>
      <c r="AA136" s="40"/>
      <c r="AB136" s="41"/>
    </row>
    <row r="137" spans="1:28">
      <c r="A137" s="42" t="s">
        <v>114</v>
      </c>
      <c r="E137" s="40"/>
      <c r="F137" s="525"/>
      <c r="G137" s="525"/>
      <c r="H137" s="525"/>
      <c r="I137" s="525"/>
      <c r="J137" s="525"/>
      <c r="K137" s="525"/>
      <c r="L137" s="525"/>
      <c r="M137" s="525"/>
      <c r="N137" s="525"/>
      <c r="O137" s="525"/>
      <c r="P137" s="525"/>
      <c r="Q137" s="525"/>
      <c r="R137" s="525"/>
      <c r="S137" s="525"/>
      <c r="T137" s="40"/>
      <c r="U137" s="40"/>
      <c r="V137" s="40"/>
      <c r="W137" s="40"/>
      <c r="X137" s="40"/>
      <c r="Y137" s="40"/>
      <c r="Z137" s="40"/>
      <c r="AA137" s="40"/>
      <c r="AB137" s="41"/>
    </row>
  </sheetData>
  <mergeCells count="367">
    <mergeCell ref="A1:AB1"/>
    <mergeCell ref="A2:A4"/>
    <mergeCell ref="B2:B4"/>
    <mergeCell ref="C2:C4"/>
    <mergeCell ref="D2:D4"/>
    <mergeCell ref="E2:AB2"/>
    <mergeCell ref="A6:A7"/>
    <mergeCell ref="B6:B7"/>
    <mergeCell ref="C6:C7"/>
    <mergeCell ref="D6:D7"/>
    <mergeCell ref="E6:E7"/>
    <mergeCell ref="T6:T7"/>
    <mergeCell ref="X6:X7"/>
    <mergeCell ref="AB6:AB7"/>
    <mergeCell ref="E3:E4"/>
    <mergeCell ref="T3:T4"/>
    <mergeCell ref="F3:H3"/>
    <mergeCell ref="F6:F7"/>
    <mergeCell ref="G6:G7"/>
    <mergeCell ref="H6:H7"/>
    <mergeCell ref="I3:K3"/>
    <mergeCell ref="X3:X4"/>
    <mergeCell ref="AB3:AB4"/>
    <mergeCell ref="Z15:Z16"/>
    <mergeCell ref="AB15:AB16"/>
    <mergeCell ref="A20:A21"/>
    <mergeCell ref="B20:B21"/>
    <mergeCell ref="C20:C21"/>
    <mergeCell ref="D20:D21"/>
    <mergeCell ref="E20:E21"/>
    <mergeCell ref="T20:T21"/>
    <mergeCell ref="X20:X21"/>
    <mergeCell ref="C15:C16"/>
    <mergeCell ref="D15:D16"/>
    <mergeCell ref="E15:E16"/>
    <mergeCell ref="T15:T16"/>
    <mergeCell ref="U15:U16"/>
    <mergeCell ref="V15:V16"/>
    <mergeCell ref="W15:W16"/>
    <mergeCell ref="X15:X16"/>
    <mergeCell ref="Y15:Y16"/>
    <mergeCell ref="AB20:AB21"/>
    <mergeCell ref="AA15:AA16"/>
    <mergeCell ref="A15:A16"/>
    <mergeCell ref="B15:B16"/>
    <mergeCell ref="AB28:AB29"/>
    <mergeCell ref="A25:A27"/>
    <mergeCell ref="B25:B27"/>
    <mergeCell ref="C25:C27"/>
    <mergeCell ref="D25:D27"/>
    <mergeCell ref="E25:E27"/>
    <mergeCell ref="T25:T27"/>
    <mergeCell ref="U25:U27"/>
    <mergeCell ref="V25:V27"/>
    <mergeCell ref="W25:W27"/>
    <mergeCell ref="X25:X27"/>
    <mergeCell ref="Y25:Y27"/>
    <mergeCell ref="AB25:AB27"/>
    <mergeCell ref="Z25:Z27"/>
    <mergeCell ref="AA25:AA27"/>
    <mergeCell ref="E38:E39"/>
    <mergeCell ref="T38:T39"/>
    <mergeCell ref="U38:U39"/>
    <mergeCell ref="V38:V39"/>
    <mergeCell ref="W38:W39"/>
    <mergeCell ref="X38:X39"/>
    <mergeCell ref="A28:A29"/>
    <mergeCell ref="B28:B29"/>
    <mergeCell ref="C28:C29"/>
    <mergeCell ref="D28:D29"/>
    <mergeCell ref="E28:E29"/>
    <mergeCell ref="T28:T29"/>
    <mergeCell ref="X28:X29"/>
    <mergeCell ref="AB30:AB31"/>
    <mergeCell ref="A32:A34"/>
    <mergeCell ref="B32:B34"/>
    <mergeCell ref="C32:C34"/>
    <mergeCell ref="D32:D34"/>
    <mergeCell ref="E32:E34"/>
    <mergeCell ref="T32:T34"/>
    <mergeCell ref="X32:X34"/>
    <mergeCell ref="AB32:AB34"/>
    <mergeCell ref="A30:A31"/>
    <mergeCell ref="B30:B31"/>
    <mergeCell ref="C30:C31"/>
    <mergeCell ref="D30:D31"/>
    <mergeCell ref="E30:E31"/>
    <mergeCell ref="T30:T31"/>
    <mergeCell ref="X30:X31"/>
    <mergeCell ref="X47:X48"/>
    <mergeCell ref="Y47:Y48"/>
    <mergeCell ref="Z47:Z48"/>
    <mergeCell ref="Y38:Y39"/>
    <mergeCell ref="Z38:Z39"/>
    <mergeCell ref="AA38:AA39"/>
    <mergeCell ref="AB38:AB39"/>
    <mergeCell ref="A40:A41"/>
    <mergeCell ref="B40:B41"/>
    <mergeCell ref="C40:C41"/>
    <mergeCell ref="D40:D41"/>
    <mergeCell ref="E40:E41"/>
    <mergeCell ref="T40:T41"/>
    <mergeCell ref="U40:U41"/>
    <mergeCell ref="V40:V41"/>
    <mergeCell ref="W40:W41"/>
    <mergeCell ref="X40:X41"/>
    <mergeCell ref="Y40:Y41"/>
    <mergeCell ref="Z40:Z41"/>
    <mergeCell ref="AA40:AA41"/>
    <mergeCell ref="A38:A39"/>
    <mergeCell ref="B38:B39"/>
    <mergeCell ref="C38:C39"/>
    <mergeCell ref="D38:D39"/>
    <mergeCell ref="AB40:AB41"/>
    <mergeCell ref="A43:A44"/>
    <mergeCell ref="B43:B44"/>
    <mergeCell ref="C43:C44"/>
    <mergeCell ref="D43:D44"/>
    <mergeCell ref="E43:E44"/>
    <mergeCell ref="T43:T44"/>
    <mergeCell ref="U43:U44"/>
    <mergeCell ref="V43:V44"/>
    <mergeCell ref="W43:W44"/>
    <mergeCell ref="X43:X44"/>
    <mergeCell ref="Y43:Y44"/>
    <mergeCell ref="Z43:Z44"/>
    <mergeCell ref="AA43:AA44"/>
    <mergeCell ref="AB43:AB44"/>
    <mergeCell ref="AA47:AA48"/>
    <mergeCell ref="AB47:AB48"/>
    <mergeCell ref="A54:A55"/>
    <mergeCell ref="B54:B55"/>
    <mergeCell ref="C54:C55"/>
    <mergeCell ref="D54:D55"/>
    <mergeCell ref="E54:E55"/>
    <mergeCell ref="T54:T55"/>
    <mergeCell ref="U54:U55"/>
    <mergeCell ref="V54:V55"/>
    <mergeCell ref="W54:W55"/>
    <mergeCell ref="X54:X55"/>
    <mergeCell ref="Y54:Y55"/>
    <mergeCell ref="Z54:Z55"/>
    <mergeCell ref="AA54:AA55"/>
    <mergeCell ref="A47:A48"/>
    <mergeCell ref="B47:B48"/>
    <mergeCell ref="C47:C48"/>
    <mergeCell ref="D47:D48"/>
    <mergeCell ref="E47:E48"/>
    <mergeCell ref="T47:T48"/>
    <mergeCell ref="U47:U48"/>
    <mergeCell ref="V47:V48"/>
    <mergeCell ref="W47:W48"/>
    <mergeCell ref="AB54:AB55"/>
    <mergeCell ref="B58:B59"/>
    <mergeCell ref="C58:C59"/>
    <mergeCell ref="D58:D59"/>
    <mergeCell ref="E58:E59"/>
    <mergeCell ref="T58:T59"/>
    <mergeCell ref="U58:U59"/>
    <mergeCell ref="V58:V59"/>
    <mergeCell ref="W58:W59"/>
    <mergeCell ref="X58:X59"/>
    <mergeCell ref="Y58:Y59"/>
    <mergeCell ref="Z58:Z59"/>
    <mergeCell ref="AA58:AA59"/>
    <mergeCell ref="AB58:AB59"/>
    <mergeCell ref="H58:H59"/>
    <mergeCell ref="G58:G59"/>
    <mergeCell ref="F58:F59"/>
    <mergeCell ref="I58:I59"/>
    <mergeCell ref="J58:J59"/>
    <mergeCell ref="K58:K59"/>
    <mergeCell ref="AB60:AB61"/>
    <mergeCell ref="A62:A63"/>
    <mergeCell ref="B62:B63"/>
    <mergeCell ref="C62:C63"/>
    <mergeCell ref="D62:D63"/>
    <mergeCell ref="E62:E63"/>
    <mergeCell ref="T62:T63"/>
    <mergeCell ref="U62:U63"/>
    <mergeCell ref="V62:V63"/>
    <mergeCell ref="W62:W63"/>
    <mergeCell ref="X62:X63"/>
    <mergeCell ref="Y62:Y63"/>
    <mergeCell ref="Z62:Z63"/>
    <mergeCell ref="AA62:AA63"/>
    <mergeCell ref="A60:A61"/>
    <mergeCell ref="B60:B61"/>
    <mergeCell ref="C60:C61"/>
    <mergeCell ref="D60:D61"/>
    <mergeCell ref="E60:E61"/>
    <mergeCell ref="T60:T61"/>
    <mergeCell ref="U60:U61"/>
    <mergeCell ref="AB62:AB63"/>
    <mergeCell ref="X66:X67"/>
    <mergeCell ref="Y66:Y67"/>
    <mergeCell ref="Z66:Z67"/>
    <mergeCell ref="V60:V61"/>
    <mergeCell ref="W60:W61"/>
    <mergeCell ref="X60:X61"/>
    <mergeCell ref="Y60:Y61"/>
    <mergeCell ref="Z60:Z61"/>
    <mergeCell ref="AA60:AA61"/>
    <mergeCell ref="X64:X65"/>
    <mergeCell ref="Y64:Y65"/>
    <mergeCell ref="Z64:Z65"/>
    <mergeCell ref="AA64:AA65"/>
    <mergeCell ref="W66:W67"/>
    <mergeCell ref="A64:A65"/>
    <mergeCell ref="B64:B65"/>
    <mergeCell ref="C64:C65"/>
    <mergeCell ref="D64:D65"/>
    <mergeCell ref="E64:E65"/>
    <mergeCell ref="T64:T65"/>
    <mergeCell ref="U64:U65"/>
    <mergeCell ref="V64:V65"/>
    <mergeCell ref="W64:W65"/>
    <mergeCell ref="AB64:AB65"/>
    <mergeCell ref="AA66:AA67"/>
    <mergeCell ref="AB66:AB67"/>
    <mergeCell ref="A73:A74"/>
    <mergeCell ref="B73:B75"/>
    <mergeCell ref="C73:C75"/>
    <mergeCell ref="D73:D75"/>
    <mergeCell ref="E73:E75"/>
    <mergeCell ref="T73:T75"/>
    <mergeCell ref="U73:U75"/>
    <mergeCell ref="V73:V75"/>
    <mergeCell ref="W73:W75"/>
    <mergeCell ref="X73:X75"/>
    <mergeCell ref="Y73:Y75"/>
    <mergeCell ref="Z73:Z75"/>
    <mergeCell ref="AA73:AA75"/>
    <mergeCell ref="A66:A67"/>
    <mergeCell ref="B66:B67"/>
    <mergeCell ref="C66:C67"/>
    <mergeCell ref="D66:D67"/>
    <mergeCell ref="E66:E67"/>
    <mergeCell ref="T66:T67"/>
    <mergeCell ref="U66:U67"/>
    <mergeCell ref="V66:V67"/>
    <mergeCell ref="A82:A83"/>
    <mergeCell ref="B82:B83"/>
    <mergeCell ref="C82:C83"/>
    <mergeCell ref="D82:D83"/>
    <mergeCell ref="E82:E83"/>
    <mergeCell ref="T82:T83"/>
    <mergeCell ref="AB73:AB75"/>
    <mergeCell ref="A77:A78"/>
    <mergeCell ref="B77:B78"/>
    <mergeCell ref="C77:C78"/>
    <mergeCell ref="D77:D78"/>
    <mergeCell ref="E77:E78"/>
    <mergeCell ref="T77:T78"/>
    <mergeCell ref="U77:U78"/>
    <mergeCell ref="V77:V78"/>
    <mergeCell ref="W77:W78"/>
    <mergeCell ref="X77:X78"/>
    <mergeCell ref="Y77:Y78"/>
    <mergeCell ref="Z77:Z78"/>
    <mergeCell ref="AA77:AA78"/>
    <mergeCell ref="AB77:AB78"/>
    <mergeCell ref="AA82:AA83"/>
    <mergeCell ref="AB82:AB83"/>
    <mergeCell ref="B84:B85"/>
    <mergeCell ref="C84:C85"/>
    <mergeCell ref="D84:D85"/>
    <mergeCell ref="E84:E85"/>
    <mergeCell ref="T84:T85"/>
    <mergeCell ref="U84:U85"/>
    <mergeCell ref="V84:V85"/>
    <mergeCell ref="W84:W85"/>
    <mergeCell ref="X84:X85"/>
    <mergeCell ref="AA84:AA85"/>
    <mergeCell ref="AB84:AB85"/>
    <mergeCell ref="D86:D87"/>
    <mergeCell ref="E86:E87"/>
    <mergeCell ref="T86:T87"/>
    <mergeCell ref="U82:U83"/>
    <mergeCell ref="V82:V83"/>
    <mergeCell ref="W82:W83"/>
    <mergeCell ref="X82:X83"/>
    <mergeCell ref="Y82:Y83"/>
    <mergeCell ref="Z82:Z83"/>
    <mergeCell ref="U86:U87"/>
    <mergeCell ref="V86:V87"/>
    <mergeCell ref="W86:W87"/>
    <mergeCell ref="X86:X87"/>
    <mergeCell ref="Y86:Y87"/>
    <mergeCell ref="Z86:Z87"/>
    <mergeCell ref="AA86:AA87"/>
    <mergeCell ref="AB86:AB87"/>
    <mergeCell ref="T92:T93"/>
    <mergeCell ref="U92:U93"/>
    <mergeCell ref="V92:V93"/>
    <mergeCell ref="W92:W93"/>
    <mergeCell ref="Y84:Y85"/>
    <mergeCell ref="Z84:Z85"/>
    <mergeCell ref="X92:X93"/>
    <mergeCell ref="Y92:Y93"/>
    <mergeCell ref="Z92:Z93"/>
    <mergeCell ref="AA92:AA93"/>
    <mergeCell ref="A86:A87"/>
    <mergeCell ref="B86:B87"/>
    <mergeCell ref="C86:C87"/>
    <mergeCell ref="AB92:AB93"/>
    <mergeCell ref="A95:A96"/>
    <mergeCell ref="B95:B96"/>
    <mergeCell ref="C95:C96"/>
    <mergeCell ref="D95:D96"/>
    <mergeCell ref="E95:E96"/>
    <mergeCell ref="T95:T96"/>
    <mergeCell ref="U95:U96"/>
    <mergeCell ref="V95:V96"/>
    <mergeCell ref="W95:W96"/>
    <mergeCell ref="X95:X96"/>
    <mergeCell ref="Y95:Y96"/>
    <mergeCell ref="Z95:Z96"/>
    <mergeCell ref="AA95:AA96"/>
    <mergeCell ref="AB95:AB96"/>
    <mergeCell ref="A92:A93"/>
    <mergeCell ref="B92:B93"/>
    <mergeCell ref="C92:C93"/>
    <mergeCell ref="D92:D93"/>
    <mergeCell ref="E92:E93"/>
    <mergeCell ref="AB120:AB121"/>
    <mergeCell ref="AB97:AB98"/>
    <mergeCell ref="A99:A100"/>
    <mergeCell ref="B99:B100"/>
    <mergeCell ref="C99:C100"/>
    <mergeCell ref="D99:D100"/>
    <mergeCell ref="E99:E100"/>
    <mergeCell ref="T99:T100"/>
    <mergeCell ref="X99:X100"/>
    <mergeCell ref="AB99:AB100"/>
    <mergeCell ref="B97:B98"/>
    <mergeCell ref="C97:C98"/>
    <mergeCell ref="D97:D98"/>
    <mergeCell ref="E97:E98"/>
    <mergeCell ref="T97:T98"/>
    <mergeCell ref="U97:U98"/>
    <mergeCell ref="X97:X98"/>
    <mergeCell ref="Y97:Y98"/>
    <mergeCell ref="A58:A59"/>
    <mergeCell ref="A122:A123"/>
    <mergeCell ref="B122:B123"/>
    <mergeCell ref="C122:C123"/>
    <mergeCell ref="D122:D123"/>
    <mergeCell ref="E122:E123"/>
    <mergeCell ref="T122:T123"/>
    <mergeCell ref="X122:X123"/>
    <mergeCell ref="AB122:AB123"/>
    <mergeCell ref="A116:A117"/>
    <mergeCell ref="B116:B117"/>
    <mergeCell ref="C116:C117"/>
    <mergeCell ref="D116:D117"/>
    <mergeCell ref="E116:E117"/>
    <mergeCell ref="T116:T117"/>
    <mergeCell ref="X116:X117"/>
    <mergeCell ref="AB116:AB117"/>
    <mergeCell ref="A120:A121"/>
    <mergeCell ref="B120:B121"/>
    <mergeCell ref="C120:C121"/>
    <mergeCell ref="D120:D121"/>
    <mergeCell ref="E120:E121"/>
    <mergeCell ref="T120:T121"/>
    <mergeCell ref="X120:X121"/>
  </mergeCells>
  <hyperlinks>
    <hyperlink ref="C2" location="_edn3" display="Код по бюджетной классификации Российской Федерации"/>
    <hyperlink ref="D2" location="_edn4" display="Аналитический код"/>
    <hyperlink ref="A6" location="_edn5" display="Остаток средств на начало текущего финансового года"/>
    <hyperlink ref="A32" location="_edn1" display="прочие поступления, всего"/>
    <hyperlink ref="A95" location="_edn1" display="расходы на закупку товаров, работ, услуг, всего"/>
    <hyperlink ref="A116" location="_edn2" display="Выплаты, уменьшающие доход, всего"/>
    <hyperlink ref="A124" location="_edn3" display="Прочие выплаты, всего"/>
    <hyperlink ref="A128" location="_ednref1" display="[i] В сучае утверждения решения о бюджете на текущий финансовый год и плановый период."/>
    <hyperlink ref="A129" location="_ednref2" display="[ii] Указывается дата подписания  Плана, а в случае утверждения Плана уполномоченным лицом учреждения-дата утверждения Плана."/>
    <hyperlink ref="A130" location="_ednref3" display="[iii] В графе 3 отражаются:"/>
    <hyperlink ref="A136"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7"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1.1811023622047245" right="0.39370078740157483" top="0.78740157480314965" bottom="0.78740157480314965" header="0.31496062992125984" footer="0.31496062992125984"/>
  <pageSetup paperSize="9" scale="50" fitToHeight="2" orientation="portrait" horizontalDpi="4294967295" verticalDpi="4294967295" r:id="rId1"/>
  <rowBreaks count="1" manualBreakCount="1">
    <brk id="81"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
    <pageSetUpPr fitToPage="1"/>
  </sheetPr>
  <dimension ref="A4:C17"/>
  <sheetViews>
    <sheetView zoomScale="40" workbookViewId="0">
      <selection activeCell="K17" sqref="K17"/>
    </sheetView>
  </sheetViews>
  <sheetFormatPr defaultRowHeight="15"/>
  <cols>
    <col min="2" max="2" width="128.85546875" bestFit="1" customWidth="1"/>
  </cols>
  <sheetData>
    <row r="4" spans="1:3">
      <c r="A4" s="47"/>
      <c r="B4" s="47"/>
      <c r="C4" s="47"/>
    </row>
    <row r="6" spans="1:3" ht="276.75">
      <c r="B6" s="48" t="s">
        <v>199</v>
      </c>
    </row>
    <row r="8" spans="1:3">
      <c r="A8" s="47"/>
      <c r="B8" s="47"/>
      <c r="C8" s="47"/>
    </row>
    <row r="10" spans="1:3" ht="148.5" customHeight="1">
      <c r="B10" s="49" t="s">
        <v>200</v>
      </c>
    </row>
    <row r="11" spans="1:3">
      <c r="A11" s="47"/>
      <c r="B11" s="47"/>
      <c r="C11" s="47"/>
    </row>
    <row r="13" spans="1:3" ht="210.75" customHeight="1">
      <c r="B13" s="49" t="s">
        <v>201</v>
      </c>
    </row>
    <row r="15" spans="1:3">
      <c r="A15" s="47"/>
      <c r="B15" s="47"/>
      <c r="C15" s="47"/>
    </row>
    <row r="17" spans="2:2" ht="303.75" customHeight="1">
      <c r="B17" s="48" t="s">
        <v>202</v>
      </c>
    </row>
  </sheetData>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pageSetUpPr fitToPage="1"/>
  </sheetPr>
  <dimension ref="A1:DB108"/>
  <sheetViews>
    <sheetView tabSelected="1" view="pageBreakPreview" topLeftCell="A28" zoomScale="70" zoomScaleNormal="85" zoomScaleSheetLayoutView="70" workbookViewId="0">
      <selection activeCell="CY54" sqref="CY54"/>
    </sheetView>
  </sheetViews>
  <sheetFormatPr defaultColWidth="9.140625" defaultRowHeight="10.15" customHeight="1"/>
  <cols>
    <col min="1" max="3" width="0.85546875" style="28" bestFit="1" customWidth="1"/>
    <col min="4" max="4" width="3" style="28" customWidth="1"/>
    <col min="5" max="7" width="0.85546875" style="28" bestFit="1" customWidth="1"/>
    <col min="8" max="8" width="3" style="28" customWidth="1"/>
    <col min="9" max="9" width="2" style="28" customWidth="1"/>
    <col min="10" max="10" width="0.85546875" style="28" bestFit="1" customWidth="1"/>
    <col min="11" max="11" width="4.5703125" style="28" customWidth="1"/>
    <col min="12" max="23" width="0.85546875" style="28" bestFit="1" customWidth="1"/>
    <col min="24" max="25" width="1.5703125" style="28" customWidth="1"/>
    <col min="26" max="32" width="0.85546875" style="28" bestFit="1" customWidth="1"/>
    <col min="33" max="33" width="1.42578125" style="28" customWidth="1"/>
    <col min="34" max="34" width="2.42578125" style="28" customWidth="1"/>
    <col min="35" max="37" width="1" style="28" bestFit="1" customWidth="1"/>
    <col min="38" max="45" width="0.85546875" style="28" bestFit="1" customWidth="1"/>
    <col min="46" max="46" width="4" style="28" customWidth="1"/>
    <col min="47" max="51" width="0.85546875" style="28" bestFit="1" customWidth="1"/>
    <col min="52" max="52" width="3" style="28" customWidth="1"/>
    <col min="53" max="73" width="0.85546875" style="28" bestFit="1" customWidth="1"/>
    <col min="74" max="74" width="6.42578125" style="28" customWidth="1"/>
    <col min="75" max="90" width="0.85546875" style="28" bestFit="1" customWidth="1"/>
    <col min="91" max="91" width="0.85546875" style="28" customWidth="1"/>
    <col min="92" max="93" width="0.85546875" style="28" bestFit="1" customWidth="1"/>
    <col min="94" max="94" width="0.85546875" style="28" customWidth="1"/>
    <col min="95" max="95" width="0.85546875" style="28" bestFit="1" customWidth="1"/>
    <col min="96" max="96" width="3" style="28" customWidth="1"/>
    <col min="97" max="98" width="0.85546875" style="28" bestFit="1" customWidth="1"/>
    <col min="99" max="99" width="3.7109375" style="28" customWidth="1"/>
    <col min="100" max="100" width="7.85546875" style="28" customWidth="1"/>
    <col min="101" max="101" width="8.85546875" style="28" customWidth="1"/>
    <col min="102" max="102" width="20.85546875" style="565" customWidth="1"/>
    <col min="103" max="103" width="19.140625" style="28" customWidth="1"/>
    <col min="104" max="104" width="19.85546875" style="28" customWidth="1"/>
    <col min="105" max="105" width="13.85546875" style="28" customWidth="1"/>
    <col min="106" max="106" width="37.42578125" style="28" customWidth="1"/>
    <col min="107" max="16384" width="9.140625" style="28"/>
  </cols>
  <sheetData>
    <row r="1" spans="1:105" ht="30.75" customHeight="1">
      <c r="B1" s="1012" t="s">
        <v>119</v>
      </c>
      <c r="C1" s="1012"/>
      <c r="D1" s="1012"/>
      <c r="E1" s="1012"/>
      <c r="F1" s="1012"/>
      <c r="G1" s="1012"/>
      <c r="H1" s="1012"/>
      <c r="I1" s="1012"/>
      <c r="J1" s="1012"/>
      <c r="K1" s="1012"/>
      <c r="L1" s="1012"/>
      <c r="M1" s="1012"/>
      <c r="N1" s="1012"/>
      <c r="O1" s="1012"/>
      <c r="P1" s="1012"/>
      <c r="Q1" s="1012"/>
      <c r="R1" s="1012"/>
      <c r="S1" s="1012"/>
      <c r="T1" s="1012"/>
      <c r="U1" s="1012"/>
      <c r="V1" s="1012"/>
      <c r="W1" s="1012"/>
      <c r="X1" s="1012"/>
      <c r="Y1" s="1012"/>
      <c r="Z1" s="1012"/>
      <c r="AA1" s="1012"/>
      <c r="AB1" s="1012"/>
      <c r="AC1" s="1012"/>
      <c r="AD1" s="1012"/>
      <c r="AE1" s="1012"/>
      <c r="AF1" s="1012"/>
      <c r="AG1" s="1012"/>
      <c r="AH1" s="1012"/>
      <c r="AI1" s="1012"/>
      <c r="AJ1" s="1012"/>
      <c r="AK1" s="1012"/>
      <c r="AL1" s="1012"/>
      <c r="AM1" s="1012"/>
      <c r="AN1" s="1012"/>
      <c r="AO1" s="1012"/>
      <c r="AP1" s="1012"/>
      <c r="AQ1" s="1012"/>
      <c r="AR1" s="1012"/>
      <c r="AS1" s="1012"/>
      <c r="AT1" s="1012"/>
      <c r="AU1" s="1012"/>
      <c r="AV1" s="1012"/>
      <c r="AW1" s="1012"/>
      <c r="AX1" s="1012"/>
      <c r="AY1" s="1012"/>
      <c r="AZ1" s="1012"/>
      <c r="BA1" s="1012"/>
      <c r="BB1" s="1012"/>
      <c r="BC1" s="1012"/>
      <c r="BD1" s="1012"/>
      <c r="BE1" s="1012"/>
      <c r="BF1" s="1012"/>
      <c r="BG1" s="1012"/>
      <c r="BH1" s="1012"/>
      <c r="BI1" s="1012"/>
      <c r="BJ1" s="1012"/>
      <c r="BK1" s="1012"/>
      <c r="BL1" s="1012"/>
      <c r="BM1" s="1012"/>
      <c r="BN1" s="1012"/>
      <c r="BO1" s="1012"/>
      <c r="BP1" s="1012"/>
      <c r="BQ1" s="1012"/>
      <c r="BR1" s="1012"/>
      <c r="BS1" s="1012"/>
      <c r="BT1" s="1012"/>
      <c r="BU1" s="1012"/>
      <c r="BV1" s="1012"/>
      <c r="BW1" s="1012"/>
      <c r="BX1" s="1012"/>
      <c r="BY1" s="1012"/>
      <c r="BZ1" s="1012"/>
      <c r="CA1" s="1012"/>
      <c r="CB1" s="1012"/>
      <c r="CC1" s="1012"/>
      <c r="CD1" s="1012"/>
      <c r="CE1" s="1012"/>
      <c r="CF1" s="1012"/>
      <c r="CG1" s="1012"/>
      <c r="CH1" s="1012"/>
      <c r="CI1" s="1012"/>
      <c r="CJ1" s="1012"/>
      <c r="CK1" s="1012"/>
      <c r="CL1" s="1012"/>
      <c r="CM1" s="1012"/>
      <c r="CN1" s="1012"/>
      <c r="CO1" s="1012"/>
      <c r="CP1" s="1012"/>
      <c r="CQ1" s="1012"/>
      <c r="CR1" s="1012"/>
      <c r="CS1" s="1012"/>
      <c r="CT1" s="1012"/>
      <c r="CU1" s="1012"/>
      <c r="CV1" s="1012"/>
      <c r="CW1" s="1012"/>
      <c r="CX1" s="1012"/>
      <c r="CY1" s="1012"/>
      <c r="CZ1" s="1012"/>
      <c r="DA1" s="1012"/>
    </row>
    <row r="2" spans="1:105" ht="15"/>
    <row r="3" spans="1:105" ht="11.25" customHeight="1">
      <c r="A3" s="1013" t="s">
        <v>120</v>
      </c>
      <c r="B3" s="1013"/>
      <c r="C3" s="1013"/>
      <c r="D3" s="1013"/>
      <c r="E3" s="1013"/>
      <c r="F3" s="1013"/>
      <c r="G3" s="1013"/>
      <c r="H3" s="1013"/>
      <c r="I3" s="1014" t="s">
        <v>9</v>
      </c>
      <c r="J3" s="1014"/>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c r="AP3" s="1014"/>
      <c r="AQ3" s="1014"/>
      <c r="AR3" s="1014"/>
      <c r="AS3" s="1014"/>
      <c r="AT3" s="1014"/>
      <c r="AU3" s="1014"/>
      <c r="AV3" s="1014"/>
      <c r="AW3" s="1014"/>
      <c r="AX3" s="1014"/>
      <c r="AY3" s="1014"/>
      <c r="AZ3" s="1014"/>
      <c r="BA3" s="1014"/>
      <c r="BB3" s="1014"/>
      <c r="BC3" s="1014"/>
      <c r="BD3" s="1014"/>
      <c r="BE3" s="1014"/>
      <c r="BF3" s="1014"/>
      <c r="BG3" s="1014"/>
      <c r="BH3" s="1014"/>
      <c r="BI3" s="1014"/>
      <c r="BJ3" s="1014"/>
      <c r="BK3" s="1014"/>
      <c r="BL3" s="1014"/>
      <c r="BM3" s="1014"/>
      <c r="BN3" s="1014"/>
      <c r="BO3" s="1014"/>
      <c r="BP3" s="1014"/>
      <c r="BQ3" s="1014"/>
      <c r="BR3" s="1014"/>
      <c r="BS3" s="1014"/>
      <c r="BT3" s="1014"/>
      <c r="BU3" s="1014"/>
      <c r="BV3" s="1014"/>
      <c r="BW3" s="1014"/>
      <c r="BX3" s="1014"/>
      <c r="BY3" s="1014"/>
      <c r="BZ3" s="1014"/>
      <c r="CA3" s="1014"/>
      <c r="CB3" s="1014"/>
      <c r="CC3" s="1014"/>
      <c r="CD3" s="1014"/>
      <c r="CE3" s="1014"/>
      <c r="CF3" s="1014"/>
      <c r="CG3" s="1014"/>
      <c r="CH3" s="1014"/>
      <c r="CI3" s="1014"/>
      <c r="CJ3" s="1014"/>
      <c r="CK3" s="1014"/>
      <c r="CL3" s="1014"/>
      <c r="CM3" s="1015"/>
      <c r="CN3" s="1021" t="s">
        <v>121</v>
      </c>
      <c r="CO3" s="1014"/>
      <c r="CP3" s="1014"/>
      <c r="CQ3" s="1014"/>
      <c r="CR3" s="1014"/>
      <c r="CS3" s="1014"/>
      <c r="CT3" s="1014"/>
      <c r="CU3" s="1015"/>
      <c r="CV3" s="1021" t="s">
        <v>122</v>
      </c>
      <c r="CW3" s="1021" t="s">
        <v>183</v>
      </c>
      <c r="CX3" s="1024" t="s">
        <v>13</v>
      </c>
      <c r="CY3" s="1025"/>
      <c r="CZ3" s="1025"/>
      <c r="DA3" s="1026"/>
    </row>
    <row r="4" spans="1:105" ht="18" customHeight="1">
      <c r="A4" s="1013"/>
      <c r="B4" s="1013"/>
      <c r="C4" s="1013"/>
      <c r="D4" s="1013"/>
      <c r="E4" s="1013"/>
      <c r="F4" s="1013"/>
      <c r="G4" s="1013"/>
      <c r="H4" s="1013"/>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016"/>
      <c r="AQ4" s="1016"/>
      <c r="AR4" s="1016"/>
      <c r="AS4" s="1016"/>
      <c r="AT4" s="1016"/>
      <c r="AU4" s="1016"/>
      <c r="AV4" s="1016"/>
      <c r="AW4" s="1016"/>
      <c r="AX4" s="1016"/>
      <c r="AY4" s="1016"/>
      <c r="AZ4" s="1016"/>
      <c r="BA4" s="1016"/>
      <c r="BB4" s="1016"/>
      <c r="BC4" s="1016"/>
      <c r="BD4" s="1016"/>
      <c r="BE4" s="1016"/>
      <c r="BF4" s="1016"/>
      <c r="BG4" s="1016"/>
      <c r="BH4" s="1016"/>
      <c r="BI4" s="1016"/>
      <c r="BJ4" s="1016"/>
      <c r="BK4" s="1016"/>
      <c r="BL4" s="1016"/>
      <c r="BM4" s="1016"/>
      <c r="BN4" s="1016"/>
      <c r="BO4" s="1016"/>
      <c r="BP4" s="1016"/>
      <c r="BQ4" s="1016"/>
      <c r="BR4" s="1016"/>
      <c r="BS4" s="1016"/>
      <c r="BT4" s="1016"/>
      <c r="BU4" s="1016"/>
      <c r="BV4" s="1016"/>
      <c r="BW4" s="1016"/>
      <c r="BX4" s="1016"/>
      <c r="BY4" s="1016"/>
      <c r="BZ4" s="1016"/>
      <c r="CA4" s="1016"/>
      <c r="CB4" s="1016"/>
      <c r="CC4" s="1016"/>
      <c r="CD4" s="1016"/>
      <c r="CE4" s="1016"/>
      <c r="CF4" s="1016"/>
      <c r="CG4" s="1016"/>
      <c r="CH4" s="1016"/>
      <c r="CI4" s="1016"/>
      <c r="CJ4" s="1016"/>
      <c r="CK4" s="1016"/>
      <c r="CL4" s="1016"/>
      <c r="CM4" s="1017"/>
      <c r="CN4" s="1022"/>
      <c r="CO4" s="1016"/>
      <c r="CP4" s="1016"/>
      <c r="CQ4" s="1016"/>
      <c r="CR4" s="1016"/>
      <c r="CS4" s="1016"/>
      <c r="CT4" s="1016"/>
      <c r="CU4" s="1017"/>
      <c r="CV4" s="1022"/>
      <c r="CW4" s="1022"/>
      <c r="CX4" s="566" t="s">
        <v>203</v>
      </c>
      <c r="CY4" s="424" t="s">
        <v>611</v>
      </c>
      <c r="CZ4" s="424" t="s">
        <v>946</v>
      </c>
      <c r="DA4" s="1027" t="s">
        <v>14</v>
      </c>
    </row>
    <row r="5" spans="1:105" ht="39" customHeight="1">
      <c r="A5" s="1013"/>
      <c r="B5" s="1013"/>
      <c r="C5" s="1013"/>
      <c r="D5" s="1013"/>
      <c r="E5" s="1013"/>
      <c r="F5" s="1013"/>
      <c r="G5" s="1013"/>
      <c r="H5" s="1013"/>
      <c r="I5" s="1018"/>
      <c r="J5" s="1018"/>
      <c r="K5" s="1018"/>
      <c r="L5" s="1018"/>
      <c r="M5" s="1018"/>
      <c r="N5" s="1019"/>
      <c r="O5" s="1019"/>
      <c r="P5" s="1019"/>
      <c r="Q5" s="1019"/>
      <c r="R5" s="1019"/>
      <c r="S5" s="1019"/>
      <c r="T5" s="1019"/>
      <c r="U5" s="1019"/>
      <c r="V5" s="1019"/>
      <c r="W5" s="1019"/>
      <c r="X5" s="1019"/>
      <c r="Y5" s="1019"/>
      <c r="Z5" s="1019"/>
      <c r="AA5" s="1019"/>
      <c r="AB5" s="1019"/>
      <c r="AC5" s="1019"/>
      <c r="AD5" s="1019"/>
      <c r="AE5" s="1019"/>
      <c r="AF5" s="1019"/>
      <c r="AG5" s="1019"/>
      <c r="AH5" s="1019"/>
      <c r="AI5" s="1019"/>
      <c r="AJ5" s="1019"/>
      <c r="AK5" s="1019"/>
      <c r="AL5" s="1019"/>
      <c r="AM5" s="1019"/>
      <c r="AN5" s="1019"/>
      <c r="AO5" s="1019"/>
      <c r="AP5" s="1019"/>
      <c r="AQ5" s="1019"/>
      <c r="AR5" s="1019"/>
      <c r="AS5" s="1019"/>
      <c r="AT5" s="1019"/>
      <c r="AU5" s="1019"/>
      <c r="AV5" s="1019"/>
      <c r="AW5" s="1019"/>
      <c r="AX5" s="1019"/>
      <c r="AY5" s="1019"/>
      <c r="AZ5" s="1019"/>
      <c r="BA5" s="1019"/>
      <c r="BB5" s="1019"/>
      <c r="BC5" s="1019"/>
      <c r="BD5" s="1019"/>
      <c r="BE5" s="1019"/>
      <c r="BF5" s="1019"/>
      <c r="BG5" s="1019"/>
      <c r="BH5" s="1019"/>
      <c r="BI5" s="1019"/>
      <c r="BJ5" s="1019"/>
      <c r="BK5" s="1019"/>
      <c r="BL5" s="1019"/>
      <c r="BM5" s="1019"/>
      <c r="BN5" s="1019"/>
      <c r="BO5" s="1019"/>
      <c r="BP5" s="1019"/>
      <c r="BQ5" s="1019"/>
      <c r="BR5" s="1019"/>
      <c r="BS5" s="1019"/>
      <c r="BT5" s="1019"/>
      <c r="BU5" s="1019"/>
      <c r="BV5" s="1019"/>
      <c r="BW5" s="1019"/>
      <c r="BX5" s="1019"/>
      <c r="BY5" s="1019"/>
      <c r="BZ5" s="1019"/>
      <c r="CA5" s="1019"/>
      <c r="CB5" s="1019"/>
      <c r="CC5" s="1019"/>
      <c r="CD5" s="1019"/>
      <c r="CE5" s="1019"/>
      <c r="CF5" s="1019"/>
      <c r="CG5" s="1019"/>
      <c r="CH5" s="1019"/>
      <c r="CI5" s="1019"/>
      <c r="CJ5" s="1019"/>
      <c r="CK5" s="1019"/>
      <c r="CL5" s="1019"/>
      <c r="CM5" s="1020"/>
      <c r="CN5" s="1023"/>
      <c r="CO5" s="1019"/>
      <c r="CP5" s="1019"/>
      <c r="CQ5" s="1019"/>
      <c r="CR5" s="1019"/>
      <c r="CS5" s="1019"/>
      <c r="CT5" s="1019"/>
      <c r="CU5" s="1020"/>
      <c r="CV5" s="1023"/>
      <c r="CW5" s="1023"/>
      <c r="CX5" s="567" t="s">
        <v>123</v>
      </c>
      <c r="CY5" s="425" t="s">
        <v>124</v>
      </c>
      <c r="CZ5" s="425" t="s">
        <v>125</v>
      </c>
      <c r="DA5" s="1028"/>
    </row>
    <row r="6" spans="1:105" ht="10.9" customHeight="1">
      <c r="A6" s="1029" t="s">
        <v>15</v>
      </c>
      <c r="B6" s="1029"/>
      <c r="C6" s="1029"/>
      <c r="D6" s="1029"/>
      <c r="E6" s="1029"/>
      <c r="F6" s="1029"/>
      <c r="G6" s="1029"/>
      <c r="H6" s="1029"/>
      <c r="I6" s="1030" t="s">
        <v>16</v>
      </c>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1030"/>
      <c r="AJ6" s="1030"/>
      <c r="AK6" s="1030"/>
      <c r="AL6" s="1030"/>
      <c r="AM6" s="1030"/>
      <c r="AN6" s="1030"/>
      <c r="AO6" s="1030"/>
      <c r="AP6" s="1030"/>
      <c r="AQ6" s="1030"/>
      <c r="AR6" s="1030"/>
      <c r="AS6" s="1030"/>
      <c r="AT6" s="1030"/>
      <c r="AU6" s="1030"/>
      <c r="AV6" s="1030"/>
      <c r="AW6" s="1030"/>
      <c r="AX6" s="1030"/>
      <c r="AY6" s="1030"/>
      <c r="AZ6" s="1030"/>
      <c r="BA6" s="1030"/>
      <c r="BB6" s="1030"/>
      <c r="BC6" s="1030"/>
      <c r="BD6" s="1030"/>
      <c r="BE6" s="1030"/>
      <c r="BF6" s="1030"/>
      <c r="BG6" s="1030"/>
      <c r="BH6" s="1030"/>
      <c r="BI6" s="1030"/>
      <c r="BJ6" s="1030"/>
      <c r="BK6" s="1030"/>
      <c r="BL6" s="1030"/>
      <c r="BM6" s="1030"/>
      <c r="BN6" s="1030"/>
      <c r="BO6" s="1030"/>
      <c r="BP6" s="1030"/>
      <c r="BQ6" s="1030"/>
      <c r="BR6" s="1030"/>
      <c r="BS6" s="1030"/>
      <c r="BT6" s="1030"/>
      <c r="BU6" s="1030"/>
      <c r="BV6" s="1030"/>
      <c r="BW6" s="1030"/>
      <c r="BX6" s="1030"/>
      <c r="BY6" s="1030"/>
      <c r="BZ6" s="1030"/>
      <c r="CA6" s="1030"/>
      <c r="CB6" s="1030"/>
      <c r="CC6" s="1030"/>
      <c r="CD6" s="1030"/>
      <c r="CE6" s="1030"/>
      <c r="CF6" s="1030"/>
      <c r="CG6" s="1030"/>
      <c r="CH6" s="1030"/>
      <c r="CI6" s="1030"/>
      <c r="CJ6" s="1030"/>
      <c r="CK6" s="1030"/>
      <c r="CL6" s="1030"/>
      <c r="CM6" s="1031"/>
      <c r="CN6" s="1032" t="s">
        <v>17</v>
      </c>
      <c r="CO6" s="1033"/>
      <c r="CP6" s="1033"/>
      <c r="CQ6" s="1033"/>
      <c r="CR6" s="1033"/>
      <c r="CS6" s="1033"/>
      <c r="CT6" s="1033"/>
      <c r="CU6" s="1034"/>
      <c r="CV6" s="371" t="s">
        <v>18</v>
      </c>
      <c r="CW6" s="371" t="s">
        <v>184</v>
      </c>
      <c r="CX6" s="568" t="s">
        <v>19</v>
      </c>
      <c r="CY6" s="371" t="s">
        <v>20</v>
      </c>
      <c r="CZ6" s="371" t="s">
        <v>21</v>
      </c>
      <c r="DA6" s="50" t="s">
        <v>22</v>
      </c>
    </row>
    <row r="7" spans="1:105" ht="10.9" customHeight="1">
      <c r="A7" s="450"/>
      <c r="B7" s="198"/>
      <c r="C7" s="198"/>
      <c r="D7" s="198"/>
      <c r="E7" s="198"/>
      <c r="F7" s="198"/>
      <c r="G7" s="198"/>
      <c r="H7" s="199"/>
      <c r="I7" s="222"/>
      <c r="J7" s="222"/>
      <c r="K7" s="222"/>
      <c r="L7" s="222"/>
      <c r="M7" s="222"/>
      <c r="N7" s="222"/>
      <c r="O7" s="222"/>
      <c r="P7" s="222"/>
      <c r="Q7" s="223"/>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00"/>
      <c r="CO7" s="200"/>
      <c r="CP7" s="200"/>
      <c r="CQ7" s="200"/>
      <c r="CR7" s="200"/>
      <c r="CS7" s="200"/>
      <c r="CT7" s="200"/>
      <c r="CU7" s="201"/>
      <c r="CV7" s="202"/>
      <c r="CW7" s="202"/>
      <c r="CX7" s="569"/>
      <c r="CY7" s="202"/>
      <c r="CZ7" s="202"/>
      <c r="DA7" s="451"/>
    </row>
    <row r="8" spans="1:105" customFormat="1" ht="27.75" customHeight="1">
      <c r="A8" s="1003">
        <v>1</v>
      </c>
      <c r="B8" s="1004"/>
      <c r="C8" s="1004"/>
      <c r="D8" s="1004"/>
      <c r="E8" s="1004"/>
      <c r="F8" s="1004"/>
      <c r="G8" s="1004"/>
      <c r="H8" s="1005"/>
      <c r="I8" s="1006" t="s">
        <v>126</v>
      </c>
      <c r="J8" s="1007"/>
      <c r="K8" s="1007"/>
      <c r="L8" s="1007"/>
      <c r="M8" s="1007"/>
      <c r="N8" s="1007"/>
      <c r="O8" s="1007"/>
      <c r="P8" s="1007"/>
      <c r="Q8" s="1007"/>
      <c r="R8" s="1007"/>
      <c r="S8" s="1007"/>
      <c r="T8" s="1007"/>
      <c r="U8" s="1007"/>
      <c r="V8" s="1007"/>
      <c r="W8" s="1007"/>
      <c r="X8" s="1007"/>
      <c r="Y8" s="1007"/>
      <c r="Z8" s="1007"/>
      <c r="AA8" s="1007"/>
      <c r="AB8" s="1007"/>
      <c r="AC8" s="1007"/>
      <c r="AD8" s="1007"/>
      <c r="AE8" s="1007"/>
      <c r="AF8" s="1007"/>
      <c r="AG8" s="1007"/>
      <c r="AH8" s="1007"/>
      <c r="AI8" s="1007"/>
      <c r="AJ8" s="1007"/>
      <c r="AK8" s="1007"/>
      <c r="AL8" s="1007"/>
      <c r="AM8" s="1007"/>
      <c r="AN8" s="1007"/>
      <c r="AO8" s="1007"/>
      <c r="AP8" s="1007"/>
      <c r="AQ8" s="1007"/>
      <c r="AR8" s="1007"/>
      <c r="AS8" s="1007"/>
      <c r="AT8" s="1007"/>
      <c r="AU8" s="1007"/>
      <c r="AV8" s="1007"/>
      <c r="AW8" s="1007"/>
      <c r="AX8" s="1007"/>
      <c r="AY8" s="1007"/>
      <c r="AZ8" s="1007"/>
      <c r="BA8" s="1007"/>
      <c r="BB8" s="1007"/>
      <c r="BC8" s="1007"/>
      <c r="BD8" s="1007"/>
      <c r="BE8" s="1007"/>
      <c r="BF8" s="1007"/>
      <c r="BG8" s="1007"/>
      <c r="BH8" s="1007"/>
      <c r="BI8" s="1007"/>
      <c r="BJ8" s="1007"/>
      <c r="BK8" s="1007"/>
      <c r="BL8" s="1007"/>
      <c r="BM8" s="1007"/>
      <c r="BN8" s="1007"/>
      <c r="BO8" s="1007"/>
      <c r="BP8" s="1007"/>
      <c r="BQ8" s="1007"/>
      <c r="BR8" s="1007"/>
      <c r="BS8" s="1007"/>
      <c r="BT8" s="1007"/>
      <c r="BU8" s="1007"/>
      <c r="BV8" s="1007"/>
      <c r="BW8" s="1007"/>
      <c r="BX8" s="1007"/>
      <c r="BY8" s="1007"/>
      <c r="BZ8" s="1007"/>
      <c r="CA8" s="1007"/>
      <c r="CB8" s="1007"/>
      <c r="CC8" s="1007"/>
      <c r="CD8" s="1007"/>
      <c r="CE8" s="1007"/>
      <c r="CF8" s="1007"/>
      <c r="CG8" s="1007"/>
      <c r="CH8" s="1007"/>
      <c r="CI8" s="1007"/>
      <c r="CJ8" s="1007"/>
      <c r="CK8" s="1007"/>
      <c r="CL8" s="1007"/>
      <c r="CM8" s="1007"/>
      <c r="CN8" s="1008" t="s">
        <v>127</v>
      </c>
      <c r="CO8" s="1009"/>
      <c r="CP8" s="1009"/>
      <c r="CQ8" s="1009"/>
      <c r="CR8" s="1009"/>
      <c r="CS8" s="1009"/>
      <c r="CT8" s="1009"/>
      <c r="CU8" s="1010"/>
      <c r="CV8" s="426" t="s">
        <v>25</v>
      </c>
      <c r="CW8" s="426" t="s">
        <v>25</v>
      </c>
      <c r="CX8" s="570">
        <f>SUM(CX9:CX11,CX15)</f>
        <v>24773028.460000001</v>
      </c>
      <c r="CY8" s="427">
        <f>SUM(CY9:CY11,CY15)</f>
        <v>16401748.98</v>
      </c>
      <c r="CZ8" s="427">
        <f>SUM(CZ9:CZ11,CZ15)</f>
        <v>16650458</v>
      </c>
      <c r="DA8" s="452">
        <f>SUM(DA9:DA11,DA15)</f>
        <v>0</v>
      </c>
    </row>
    <row r="9" spans="1:105" customFormat="1" ht="186" customHeight="1">
      <c r="A9" s="990" t="s">
        <v>128</v>
      </c>
      <c r="B9" s="991"/>
      <c r="C9" s="991"/>
      <c r="D9" s="991"/>
      <c r="E9" s="991"/>
      <c r="F9" s="991"/>
      <c r="G9" s="991"/>
      <c r="H9" s="992"/>
      <c r="I9" s="1011" t="s">
        <v>612</v>
      </c>
      <c r="J9" s="994"/>
      <c r="K9" s="994"/>
      <c r="L9" s="994"/>
      <c r="M9" s="994"/>
      <c r="N9" s="994"/>
      <c r="O9" s="994"/>
      <c r="P9" s="994"/>
      <c r="Q9" s="994"/>
      <c r="R9" s="994"/>
      <c r="S9" s="994"/>
      <c r="T9" s="994"/>
      <c r="U9" s="994"/>
      <c r="V9" s="994"/>
      <c r="W9" s="994"/>
      <c r="X9" s="994"/>
      <c r="Y9" s="994"/>
      <c r="Z9" s="994"/>
      <c r="AA9" s="994"/>
      <c r="AB9" s="994"/>
      <c r="AC9" s="994"/>
      <c r="AD9" s="994"/>
      <c r="AE9" s="994"/>
      <c r="AF9" s="994"/>
      <c r="AG9" s="994"/>
      <c r="AH9" s="994"/>
      <c r="AI9" s="994"/>
      <c r="AJ9" s="994"/>
      <c r="AK9" s="994"/>
      <c r="AL9" s="994"/>
      <c r="AM9" s="994"/>
      <c r="AN9" s="994"/>
      <c r="AO9" s="994"/>
      <c r="AP9" s="994"/>
      <c r="AQ9" s="994"/>
      <c r="AR9" s="994"/>
      <c r="AS9" s="994"/>
      <c r="AT9" s="994"/>
      <c r="AU9" s="994"/>
      <c r="AV9" s="994"/>
      <c r="AW9" s="994"/>
      <c r="AX9" s="994"/>
      <c r="AY9" s="994"/>
      <c r="AZ9" s="994"/>
      <c r="BA9" s="994"/>
      <c r="BB9" s="994"/>
      <c r="BC9" s="994"/>
      <c r="BD9" s="994"/>
      <c r="BE9" s="994"/>
      <c r="BF9" s="994"/>
      <c r="BG9" s="994"/>
      <c r="BH9" s="994"/>
      <c r="BI9" s="994"/>
      <c r="BJ9" s="994"/>
      <c r="BK9" s="994"/>
      <c r="BL9" s="994"/>
      <c r="BM9" s="994"/>
      <c r="BN9" s="994"/>
      <c r="BO9" s="994"/>
      <c r="BP9" s="994"/>
      <c r="BQ9" s="994"/>
      <c r="BR9" s="994"/>
      <c r="BS9" s="994"/>
      <c r="BT9" s="994"/>
      <c r="BU9" s="994"/>
      <c r="BV9" s="994"/>
      <c r="BW9" s="994"/>
      <c r="BX9" s="994"/>
      <c r="BY9" s="994"/>
      <c r="BZ9" s="994"/>
      <c r="CA9" s="994"/>
      <c r="CB9" s="994"/>
      <c r="CC9" s="994"/>
      <c r="CD9" s="994"/>
      <c r="CE9" s="994"/>
      <c r="CF9" s="994"/>
      <c r="CG9" s="994"/>
      <c r="CH9" s="994"/>
      <c r="CI9" s="994"/>
      <c r="CJ9" s="994"/>
      <c r="CK9" s="994"/>
      <c r="CL9" s="994"/>
      <c r="CM9" s="994"/>
      <c r="CN9" s="995" t="s">
        <v>129</v>
      </c>
      <c r="CO9" s="996"/>
      <c r="CP9" s="996"/>
      <c r="CQ9" s="996"/>
      <c r="CR9" s="996"/>
      <c r="CS9" s="996"/>
      <c r="CT9" s="996"/>
      <c r="CU9" s="997"/>
      <c r="CV9" s="428" t="s">
        <v>25</v>
      </c>
      <c r="CW9" s="428" t="s">
        <v>25</v>
      </c>
      <c r="CX9" s="571">
        <v>0</v>
      </c>
      <c r="CY9" s="429">
        <v>0</v>
      </c>
      <c r="CZ9" s="429">
        <v>0</v>
      </c>
      <c r="DA9" s="453">
        <v>0</v>
      </c>
    </row>
    <row r="10" spans="1:105" customFormat="1" ht="90" customHeight="1">
      <c r="A10" s="990" t="s">
        <v>130</v>
      </c>
      <c r="B10" s="991"/>
      <c r="C10" s="991"/>
      <c r="D10" s="991"/>
      <c r="E10" s="991"/>
      <c r="F10" s="991"/>
      <c r="G10" s="991"/>
      <c r="H10" s="992"/>
      <c r="I10" s="993" t="s">
        <v>519</v>
      </c>
      <c r="J10" s="994"/>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c r="AN10" s="994"/>
      <c r="AO10" s="994"/>
      <c r="AP10" s="994"/>
      <c r="AQ10" s="994"/>
      <c r="AR10" s="994"/>
      <c r="AS10" s="994"/>
      <c r="AT10" s="994"/>
      <c r="AU10" s="994"/>
      <c r="AV10" s="994"/>
      <c r="AW10" s="994"/>
      <c r="AX10" s="994"/>
      <c r="AY10" s="994"/>
      <c r="AZ10" s="994"/>
      <c r="BA10" s="994"/>
      <c r="BB10" s="994"/>
      <c r="BC10" s="994"/>
      <c r="BD10" s="994"/>
      <c r="BE10" s="994"/>
      <c r="BF10" s="994"/>
      <c r="BG10" s="994"/>
      <c r="BH10" s="994"/>
      <c r="BI10" s="994"/>
      <c r="BJ10" s="994"/>
      <c r="BK10" s="994"/>
      <c r="BL10" s="994"/>
      <c r="BM10" s="994"/>
      <c r="BN10" s="994"/>
      <c r="BO10" s="994"/>
      <c r="BP10" s="994"/>
      <c r="BQ10" s="994"/>
      <c r="BR10" s="994"/>
      <c r="BS10" s="994"/>
      <c r="BT10" s="994"/>
      <c r="BU10" s="994"/>
      <c r="BV10" s="994"/>
      <c r="BW10" s="994"/>
      <c r="BX10" s="994"/>
      <c r="BY10" s="994"/>
      <c r="BZ10" s="994"/>
      <c r="CA10" s="994"/>
      <c r="CB10" s="994"/>
      <c r="CC10" s="994"/>
      <c r="CD10" s="994"/>
      <c r="CE10" s="994"/>
      <c r="CF10" s="994"/>
      <c r="CG10" s="994"/>
      <c r="CH10" s="994"/>
      <c r="CI10" s="994"/>
      <c r="CJ10" s="994"/>
      <c r="CK10" s="994"/>
      <c r="CL10" s="994"/>
      <c r="CM10" s="994"/>
      <c r="CN10" s="995" t="s">
        <v>131</v>
      </c>
      <c r="CO10" s="996"/>
      <c r="CP10" s="996"/>
      <c r="CQ10" s="996"/>
      <c r="CR10" s="996"/>
      <c r="CS10" s="996"/>
      <c r="CT10" s="996"/>
      <c r="CU10" s="997"/>
      <c r="CV10" s="428" t="s">
        <v>25</v>
      </c>
      <c r="CW10" s="428" t="s">
        <v>25</v>
      </c>
      <c r="CX10" s="571">
        <v>0</v>
      </c>
      <c r="CY10" s="429">
        <v>0</v>
      </c>
      <c r="CZ10" s="429">
        <v>0</v>
      </c>
      <c r="DA10" s="453">
        <v>0</v>
      </c>
    </row>
    <row r="11" spans="1:105" customFormat="1" ht="86.25" customHeight="1">
      <c r="A11" s="990" t="s">
        <v>132</v>
      </c>
      <c r="B11" s="991"/>
      <c r="C11" s="991"/>
      <c r="D11" s="991"/>
      <c r="E11" s="991"/>
      <c r="F11" s="991"/>
      <c r="G11" s="991"/>
      <c r="H11" s="992"/>
      <c r="I11" s="993" t="s">
        <v>520</v>
      </c>
      <c r="J11" s="994"/>
      <c r="K11" s="994"/>
      <c r="L11" s="994"/>
      <c r="M11" s="994"/>
      <c r="N11" s="994"/>
      <c r="O11" s="994"/>
      <c r="P11" s="994"/>
      <c r="Q11" s="994"/>
      <c r="R11" s="994"/>
      <c r="S11" s="994"/>
      <c r="T11" s="994"/>
      <c r="U11" s="994"/>
      <c r="V11" s="994"/>
      <c r="W11" s="994"/>
      <c r="X11" s="994"/>
      <c r="Y11" s="994"/>
      <c r="Z11" s="994"/>
      <c r="AA11" s="994"/>
      <c r="AB11" s="994"/>
      <c r="AC11" s="994"/>
      <c r="AD11" s="994"/>
      <c r="AE11" s="994"/>
      <c r="AF11" s="994"/>
      <c r="AG11" s="994"/>
      <c r="AH11" s="994"/>
      <c r="AI11" s="994"/>
      <c r="AJ11" s="994"/>
      <c r="AK11" s="994"/>
      <c r="AL11" s="994"/>
      <c r="AM11" s="994"/>
      <c r="AN11" s="994"/>
      <c r="AO11" s="994"/>
      <c r="AP11" s="994"/>
      <c r="AQ11" s="994"/>
      <c r="AR11" s="994"/>
      <c r="AS11" s="994"/>
      <c r="AT11" s="994"/>
      <c r="AU11" s="994"/>
      <c r="AV11" s="994"/>
      <c r="AW11" s="994"/>
      <c r="AX11" s="994"/>
      <c r="AY11" s="994"/>
      <c r="AZ11" s="994"/>
      <c r="BA11" s="994"/>
      <c r="BB11" s="994"/>
      <c r="BC11" s="994"/>
      <c r="BD11" s="994"/>
      <c r="BE11" s="994"/>
      <c r="BF11" s="994"/>
      <c r="BG11" s="994"/>
      <c r="BH11" s="994"/>
      <c r="BI11" s="994"/>
      <c r="BJ11" s="994"/>
      <c r="BK11" s="994"/>
      <c r="BL11" s="994"/>
      <c r="BM11" s="994"/>
      <c r="BN11" s="994"/>
      <c r="BO11" s="994"/>
      <c r="BP11" s="994"/>
      <c r="BQ11" s="994"/>
      <c r="BR11" s="994"/>
      <c r="BS11" s="994"/>
      <c r="BT11" s="994"/>
      <c r="BU11" s="994"/>
      <c r="BV11" s="994"/>
      <c r="BW11" s="994"/>
      <c r="BX11" s="994"/>
      <c r="BY11" s="994"/>
      <c r="BZ11" s="994"/>
      <c r="CA11" s="994"/>
      <c r="CB11" s="994"/>
      <c r="CC11" s="994"/>
      <c r="CD11" s="994"/>
      <c r="CE11" s="994"/>
      <c r="CF11" s="994"/>
      <c r="CG11" s="994"/>
      <c r="CH11" s="994"/>
      <c r="CI11" s="994"/>
      <c r="CJ11" s="994"/>
      <c r="CK11" s="994"/>
      <c r="CL11" s="994"/>
      <c r="CM11" s="994"/>
      <c r="CN11" s="995" t="s">
        <v>133</v>
      </c>
      <c r="CO11" s="996"/>
      <c r="CP11" s="996"/>
      <c r="CQ11" s="996"/>
      <c r="CR11" s="996"/>
      <c r="CS11" s="996"/>
      <c r="CT11" s="996"/>
      <c r="CU11" s="997"/>
      <c r="CV11" s="428" t="s">
        <v>25</v>
      </c>
      <c r="CW11" s="428" t="s">
        <v>25</v>
      </c>
      <c r="CX11" s="571">
        <f>SUM(CX12:CX14)</f>
        <v>0</v>
      </c>
      <c r="CY11" s="429">
        <f>SUM(CY12:CY14)</f>
        <v>0</v>
      </c>
      <c r="CZ11" s="429">
        <f>SUM(CZ12:CZ14)</f>
        <v>0</v>
      </c>
      <c r="DA11" s="453">
        <f>SUM(DA12:DA14)</f>
        <v>0</v>
      </c>
    </row>
    <row r="12" spans="1:105" s="121" customFormat="1" ht="43.5" customHeight="1">
      <c r="A12" s="974" t="s">
        <v>185</v>
      </c>
      <c r="B12" s="975"/>
      <c r="C12" s="975"/>
      <c r="D12" s="975"/>
      <c r="E12" s="975"/>
      <c r="F12" s="975"/>
      <c r="G12" s="975"/>
      <c r="H12" s="976"/>
      <c r="I12" s="988" t="s">
        <v>951</v>
      </c>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c r="AG12" s="989"/>
      <c r="AH12" s="989"/>
      <c r="AI12" s="989"/>
      <c r="AJ12" s="989"/>
      <c r="AK12" s="989"/>
      <c r="AL12" s="989"/>
      <c r="AM12" s="989"/>
      <c r="AN12" s="989"/>
      <c r="AO12" s="989"/>
      <c r="AP12" s="989"/>
      <c r="AQ12" s="989"/>
      <c r="AR12" s="989"/>
      <c r="AS12" s="989"/>
      <c r="AT12" s="989"/>
      <c r="AU12" s="989"/>
      <c r="AV12" s="989"/>
      <c r="AW12" s="989"/>
      <c r="AX12" s="989"/>
      <c r="AY12" s="989"/>
      <c r="AZ12" s="989"/>
      <c r="BA12" s="989"/>
      <c r="BB12" s="989"/>
      <c r="BC12" s="989"/>
      <c r="BD12" s="989"/>
      <c r="BE12" s="989"/>
      <c r="BF12" s="989"/>
      <c r="BG12" s="989"/>
      <c r="BH12" s="989"/>
      <c r="BI12" s="989"/>
      <c r="BJ12" s="989"/>
      <c r="BK12" s="989"/>
      <c r="BL12" s="989"/>
      <c r="BM12" s="989"/>
      <c r="BN12" s="989"/>
      <c r="BO12" s="989"/>
      <c r="BP12" s="989"/>
      <c r="BQ12" s="989"/>
      <c r="BR12" s="989"/>
      <c r="BS12" s="989"/>
      <c r="BT12" s="989"/>
      <c r="BU12" s="989"/>
      <c r="BV12" s="989"/>
      <c r="BW12" s="989"/>
      <c r="BX12" s="989"/>
      <c r="BY12" s="989"/>
      <c r="BZ12" s="989"/>
      <c r="CA12" s="989"/>
      <c r="CB12" s="989"/>
      <c r="CC12" s="989"/>
      <c r="CD12" s="989"/>
      <c r="CE12" s="989"/>
      <c r="CF12" s="989"/>
      <c r="CG12" s="989"/>
      <c r="CH12" s="989"/>
      <c r="CI12" s="989"/>
      <c r="CJ12" s="989"/>
      <c r="CK12" s="989"/>
      <c r="CL12" s="989"/>
      <c r="CM12" s="989"/>
      <c r="CN12" s="998" t="s">
        <v>186</v>
      </c>
      <c r="CO12" s="999"/>
      <c r="CP12" s="999"/>
      <c r="CQ12" s="999"/>
      <c r="CR12" s="999"/>
      <c r="CS12" s="999"/>
      <c r="CT12" s="999"/>
      <c r="CU12" s="1000"/>
      <c r="CV12" s="430" t="s">
        <v>25</v>
      </c>
      <c r="CW12" s="430" t="s">
        <v>25</v>
      </c>
      <c r="CX12" s="572">
        <v>0</v>
      </c>
      <c r="CY12" s="431">
        <v>0</v>
      </c>
      <c r="CZ12" s="431">
        <v>0</v>
      </c>
      <c r="DA12" s="454">
        <v>0</v>
      </c>
    </row>
    <row r="13" spans="1:105" s="121" customFormat="1" ht="36" customHeight="1">
      <c r="A13" s="974"/>
      <c r="B13" s="975"/>
      <c r="C13" s="975"/>
      <c r="D13" s="975"/>
      <c r="E13" s="975"/>
      <c r="F13" s="975"/>
      <c r="G13" s="975"/>
      <c r="H13" s="976"/>
      <c r="I13" s="988" t="s">
        <v>58</v>
      </c>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989"/>
      <c r="AL13" s="989"/>
      <c r="AM13" s="989"/>
      <c r="AN13" s="989"/>
      <c r="AO13" s="989"/>
      <c r="AP13" s="989"/>
      <c r="AQ13" s="989"/>
      <c r="AR13" s="989"/>
      <c r="AS13" s="989"/>
      <c r="AT13" s="989"/>
      <c r="AU13" s="989"/>
      <c r="AV13" s="989"/>
      <c r="AW13" s="989"/>
      <c r="AX13" s="989"/>
      <c r="AY13" s="989"/>
      <c r="AZ13" s="989"/>
      <c r="BA13" s="989"/>
      <c r="BB13" s="989"/>
      <c r="BC13" s="989"/>
      <c r="BD13" s="989"/>
      <c r="BE13" s="989"/>
      <c r="BF13" s="989"/>
      <c r="BG13" s="989"/>
      <c r="BH13" s="989"/>
      <c r="BI13" s="989"/>
      <c r="BJ13" s="989"/>
      <c r="BK13" s="989"/>
      <c r="BL13" s="989"/>
      <c r="BM13" s="989"/>
      <c r="BN13" s="989"/>
      <c r="BO13" s="989"/>
      <c r="BP13" s="989"/>
      <c r="BQ13" s="989"/>
      <c r="BR13" s="989"/>
      <c r="BS13" s="989"/>
      <c r="BT13" s="989"/>
      <c r="BU13" s="989"/>
      <c r="BV13" s="989"/>
      <c r="BW13" s="989"/>
      <c r="BX13" s="989"/>
      <c r="BY13" s="989"/>
      <c r="BZ13" s="989"/>
      <c r="CA13" s="989"/>
      <c r="CB13" s="989"/>
      <c r="CC13" s="989"/>
      <c r="CD13" s="989"/>
      <c r="CE13" s="989"/>
      <c r="CF13" s="989"/>
      <c r="CG13" s="989"/>
      <c r="CH13" s="989"/>
      <c r="CI13" s="989"/>
      <c r="CJ13" s="989"/>
      <c r="CK13" s="989"/>
      <c r="CL13" s="989"/>
      <c r="CM13" s="989"/>
      <c r="CN13" s="998" t="s">
        <v>187</v>
      </c>
      <c r="CO13" s="999"/>
      <c r="CP13" s="999"/>
      <c r="CQ13" s="999"/>
      <c r="CR13" s="999"/>
      <c r="CS13" s="999"/>
      <c r="CT13" s="999"/>
      <c r="CU13" s="1000"/>
      <c r="CV13" s="430"/>
      <c r="CW13" s="430"/>
      <c r="CX13" s="572">
        <v>0</v>
      </c>
      <c r="CY13" s="431">
        <v>0</v>
      </c>
      <c r="CZ13" s="431">
        <v>0</v>
      </c>
      <c r="DA13" s="454">
        <v>0</v>
      </c>
    </row>
    <row r="14" spans="1:105" s="121" customFormat="1" ht="43.5" customHeight="1">
      <c r="A14" s="974" t="s">
        <v>188</v>
      </c>
      <c r="B14" s="975"/>
      <c r="C14" s="975"/>
      <c r="D14" s="975"/>
      <c r="E14" s="975"/>
      <c r="F14" s="975"/>
      <c r="G14" s="975"/>
      <c r="H14" s="976"/>
      <c r="I14" s="988" t="s">
        <v>179</v>
      </c>
      <c r="J14" s="989"/>
      <c r="K14" s="989"/>
      <c r="L14" s="989"/>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989"/>
      <c r="AK14" s="989"/>
      <c r="AL14" s="989"/>
      <c r="AM14" s="989"/>
      <c r="AN14" s="989"/>
      <c r="AO14" s="989"/>
      <c r="AP14" s="989"/>
      <c r="AQ14" s="989"/>
      <c r="AR14" s="989"/>
      <c r="AS14" s="989"/>
      <c r="AT14" s="989"/>
      <c r="AU14" s="989"/>
      <c r="AV14" s="989"/>
      <c r="AW14" s="989"/>
      <c r="AX14" s="989"/>
      <c r="AY14" s="989"/>
      <c r="AZ14" s="989"/>
      <c r="BA14" s="989"/>
      <c r="BB14" s="989"/>
      <c r="BC14" s="989"/>
      <c r="BD14" s="989"/>
      <c r="BE14" s="989"/>
      <c r="BF14" s="989"/>
      <c r="BG14" s="989"/>
      <c r="BH14" s="989"/>
      <c r="BI14" s="989"/>
      <c r="BJ14" s="989"/>
      <c r="BK14" s="989"/>
      <c r="BL14" s="989"/>
      <c r="BM14" s="989"/>
      <c r="BN14" s="989"/>
      <c r="BO14" s="989"/>
      <c r="BP14" s="989"/>
      <c r="BQ14" s="989"/>
      <c r="BR14" s="989"/>
      <c r="BS14" s="989"/>
      <c r="BT14" s="989"/>
      <c r="BU14" s="989"/>
      <c r="BV14" s="989"/>
      <c r="BW14" s="989"/>
      <c r="BX14" s="989"/>
      <c r="BY14" s="989"/>
      <c r="BZ14" s="989"/>
      <c r="CA14" s="989"/>
      <c r="CB14" s="989"/>
      <c r="CC14" s="989"/>
      <c r="CD14" s="989"/>
      <c r="CE14" s="989"/>
      <c r="CF14" s="989"/>
      <c r="CG14" s="989"/>
      <c r="CH14" s="989"/>
      <c r="CI14" s="989"/>
      <c r="CJ14" s="989"/>
      <c r="CK14" s="989"/>
      <c r="CL14" s="989"/>
      <c r="CM14" s="989"/>
      <c r="CN14" s="998" t="s">
        <v>189</v>
      </c>
      <c r="CO14" s="999"/>
      <c r="CP14" s="999"/>
      <c r="CQ14" s="999"/>
      <c r="CR14" s="999"/>
      <c r="CS14" s="999"/>
      <c r="CT14" s="999"/>
      <c r="CU14" s="1000"/>
      <c r="CV14" s="430" t="s">
        <v>25</v>
      </c>
      <c r="CW14" s="430" t="s">
        <v>25</v>
      </c>
      <c r="CX14" s="572">
        <v>0</v>
      </c>
      <c r="CY14" s="431">
        <v>0</v>
      </c>
      <c r="CZ14" s="431">
        <v>0</v>
      </c>
      <c r="DA14" s="454">
        <v>0</v>
      </c>
    </row>
    <row r="15" spans="1:105" customFormat="1" ht="84" customHeight="1">
      <c r="A15" s="990" t="s">
        <v>134</v>
      </c>
      <c r="B15" s="991"/>
      <c r="C15" s="991"/>
      <c r="D15" s="991"/>
      <c r="E15" s="991"/>
      <c r="F15" s="991"/>
      <c r="G15" s="991"/>
      <c r="H15" s="992"/>
      <c r="I15" s="993" t="s">
        <v>514</v>
      </c>
      <c r="J15" s="994"/>
      <c r="K15" s="994"/>
      <c r="L15" s="994"/>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4"/>
      <c r="AM15" s="994"/>
      <c r="AN15" s="994"/>
      <c r="AO15" s="994"/>
      <c r="AP15" s="994"/>
      <c r="AQ15" s="994"/>
      <c r="AR15" s="994"/>
      <c r="AS15" s="994"/>
      <c r="AT15" s="994"/>
      <c r="AU15" s="994"/>
      <c r="AV15" s="994"/>
      <c r="AW15" s="994"/>
      <c r="AX15" s="994"/>
      <c r="AY15" s="994"/>
      <c r="AZ15" s="994"/>
      <c r="BA15" s="994"/>
      <c r="BB15" s="994"/>
      <c r="BC15" s="994"/>
      <c r="BD15" s="994"/>
      <c r="BE15" s="994"/>
      <c r="BF15" s="994"/>
      <c r="BG15" s="994"/>
      <c r="BH15" s="994"/>
      <c r="BI15" s="994"/>
      <c r="BJ15" s="994"/>
      <c r="BK15" s="994"/>
      <c r="BL15" s="994"/>
      <c r="BM15" s="994"/>
      <c r="BN15" s="994"/>
      <c r="BO15" s="994"/>
      <c r="BP15" s="994"/>
      <c r="BQ15" s="994"/>
      <c r="BR15" s="994"/>
      <c r="BS15" s="994"/>
      <c r="BT15" s="994"/>
      <c r="BU15" s="994"/>
      <c r="BV15" s="994"/>
      <c r="BW15" s="994"/>
      <c r="BX15" s="994"/>
      <c r="BY15" s="994"/>
      <c r="BZ15" s="994"/>
      <c r="CA15" s="994"/>
      <c r="CB15" s="994"/>
      <c r="CC15" s="994"/>
      <c r="CD15" s="994"/>
      <c r="CE15" s="994"/>
      <c r="CF15" s="994"/>
      <c r="CG15" s="994"/>
      <c r="CH15" s="994"/>
      <c r="CI15" s="994"/>
      <c r="CJ15" s="994"/>
      <c r="CK15" s="994"/>
      <c r="CL15" s="994"/>
      <c r="CM15" s="994"/>
      <c r="CN15" s="995" t="s">
        <v>135</v>
      </c>
      <c r="CO15" s="996"/>
      <c r="CP15" s="996"/>
      <c r="CQ15" s="996"/>
      <c r="CR15" s="996"/>
      <c r="CS15" s="996"/>
      <c r="CT15" s="996"/>
      <c r="CU15" s="997"/>
      <c r="CV15" s="428" t="s">
        <v>25</v>
      </c>
      <c r="CW15" s="428" t="s">
        <v>25</v>
      </c>
      <c r="CX15" s="571">
        <f>CX16+CX19+CX23+CX25+CX28</f>
        <v>24773028.460000001</v>
      </c>
      <c r="CY15" s="429">
        <f>CY16+CY19+CY23+CY25+CY28</f>
        <v>16401748.98</v>
      </c>
      <c r="CZ15" s="429">
        <f>CZ16+CZ19+CZ23+CZ25+CZ28</f>
        <v>16650458</v>
      </c>
      <c r="DA15" s="453">
        <f>DA16+DA19+DA23+DA25+DA28</f>
        <v>0</v>
      </c>
    </row>
    <row r="16" spans="1:105" customFormat="1" ht="70.5" customHeight="1">
      <c r="A16" s="990" t="s">
        <v>136</v>
      </c>
      <c r="B16" s="991"/>
      <c r="C16" s="991"/>
      <c r="D16" s="991"/>
      <c r="E16" s="991"/>
      <c r="F16" s="991"/>
      <c r="G16" s="991"/>
      <c r="H16" s="992"/>
      <c r="I16" s="1001" t="s">
        <v>516</v>
      </c>
      <c r="J16" s="1002"/>
      <c r="K16" s="1002"/>
      <c r="L16" s="1002"/>
      <c r="M16" s="1002"/>
      <c r="N16" s="1002"/>
      <c r="O16" s="1002"/>
      <c r="P16" s="1002"/>
      <c r="Q16" s="1002"/>
      <c r="R16" s="1002"/>
      <c r="S16" s="1002"/>
      <c r="T16" s="1002"/>
      <c r="U16" s="1002"/>
      <c r="V16" s="1002"/>
      <c r="W16" s="1002"/>
      <c r="X16" s="1002"/>
      <c r="Y16" s="1002"/>
      <c r="Z16" s="1002"/>
      <c r="AA16" s="1002"/>
      <c r="AB16" s="1002"/>
      <c r="AC16" s="1002"/>
      <c r="AD16" s="1002"/>
      <c r="AE16" s="1002"/>
      <c r="AF16" s="1002"/>
      <c r="AG16" s="1002"/>
      <c r="AH16" s="1002"/>
      <c r="AI16" s="1002"/>
      <c r="AJ16" s="1002"/>
      <c r="AK16" s="1002"/>
      <c r="AL16" s="1002"/>
      <c r="AM16" s="1002"/>
      <c r="AN16" s="1002"/>
      <c r="AO16" s="1002"/>
      <c r="AP16" s="1002"/>
      <c r="AQ16" s="1002"/>
      <c r="AR16" s="1002"/>
      <c r="AS16" s="1002"/>
      <c r="AT16" s="1002"/>
      <c r="AU16" s="1002"/>
      <c r="AV16" s="1002"/>
      <c r="AW16" s="1002"/>
      <c r="AX16" s="1002"/>
      <c r="AY16" s="1002"/>
      <c r="AZ16" s="1002"/>
      <c r="BA16" s="1002"/>
      <c r="BB16" s="1002"/>
      <c r="BC16" s="1002"/>
      <c r="BD16" s="1002"/>
      <c r="BE16" s="1002"/>
      <c r="BF16" s="1002"/>
      <c r="BG16" s="1002"/>
      <c r="BH16" s="1002"/>
      <c r="BI16" s="1002"/>
      <c r="BJ16" s="1002"/>
      <c r="BK16" s="1002"/>
      <c r="BL16" s="1002"/>
      <c r="BM16" s="1002"/>
      <c r="BN16" s="1002"/>
      <c r="BO16" s="1002"/>
      <c r="BP16" s="1002"/>
      <c r="BQ16" s="1002"/>
      <c r="BR16" s="1002"/>
      <c r="BS16" s="1002"/>
      <c r="BT16" s="1002"/>
      <c r="BU16" s="1002"/>
      <c r="BV16" s="1002"/>
      <c r="BW16" s="1002"/>
      <c r="BX16" s="1002"/>
      <c r="BY16" s="1002"/>
      <c r="BZ16" s="1002"/>
      <c r="CA16" s="1002"/>
      <c r="CB16" s="1002"/>
      <c r="CC16" s="1002"/>
      <c r="CD16" s="1002"/>
      <c r="CE16" s="1002"/>
      <c r="CF16" s="1002"/>
      <c r="CG16" s="1002"/>
      <c r="CH16" s="1002"/>
      <c r="CI16" s="1002"/>
      <c r="CJ16" s="1002"/>
      <c r="CK16" s="1002"/>
      <c r="CL16" s="1002"/>
      <c r="CM16" s="1002"/>
      <c r="CN16" s="995" t="s">
        <v>137</v>
      </c>
      <c r="CO16" s="996"/>
      <c r="CP16" s="996"/>
      <c r="CQ16" s="996"/>
      <c r="CR16" s="996"/>
      <c r="CS16" s="996"/>
      <c r="CT16" s="996"/>
      <c r="CU16" s="997"/>
      <c r="CV16" s="428" t="s">
        <v>25</v>
      </c>
      <c r="CW16" s="428" t="s">
        <v>25</v>
      </c>
      <c r="CX16" s="571">
        <f>SUM(CX17:CX18)</f>
        <v>19174632.890000001</v>
      </c>
      <c r="CY16" s="429">
        <f>SUM(CY17:CY18)</f>
        <v>11790015.42</v>
      </c>
      <c r="CZ16" s="429">
        <f>SUM(CZ17:CZ18)</f>
        <v>11695459.23</v>
      </c>
      <c r="DA16" s="453">
        <f>SUM(DA17:DA18)</f>
        <v>0</v>
      </c>
    </row>
    <row r="17" spans="1:106" customFormat="1" ht="35.25" customHeight="1">
      <c r="A17" s="974" t="s">
        <v>138</v>
      </c>
      <c r="B17" s="975"/>
      <c r="C17" s="975"/>
      <c r="D17" s="975"/>
      <c r="E17" s="975"/>
      <c r="F17" s="975"/>
      <c r="G17" s="975"/>
      <c r="H17" s="976"/>
      <c r="I17" s="988" t="s">
        <v>517</v>
      </c>
      <c r="J17" s="989"/>
      <c r="K17" s="989"/>
      <c r="L17" s="989"/>
      <c r="M17" s="989"/>
      <c r="N17" s="989"/>
      <c r="O17" s="989"/>
      <c r="P17" s="989"/>
      <c r="Q17" s="989"/>
      <c r="R17" s="989"/>
      <c r="S17" s="989"/>
      <c r="T17" s="989"/>
      <c r="U17" s="989"/>
      <c r="V17" s="989"/>
      <c r="W17" s="989"/>
      <c r="X17" s="989"/>
      <c r="Y17" s="989"/>
      <c r="Z17" s="989"/>
      <c r="AA17" s="989"/>
      <c r="AB17" s="989"/>
      <c r="AC17" s="989"/>
      <c r="AD17" s="989"/>
      <c r="AE17" s="989"/>
      <c r="AF17" s="989"/>
      <c r="AG17" s="989"/>
      <c r="AH17" s="989"/>
      <c r="AI17" s="989"/>
      <c r="AJ17" s="989"/>
      <c r="AK17" s="989"/>
      <c r="AL17" s="989"/>
      <c r="AM17" s="989"/>
      <c r="AN17" s="989"/>
      <c r="AO17" s="989"/>
      <c r="AP17" s="989"/>
      <c r="AQ17" s="989"/>
      <c r="AR17" s="989"/>
      <c r="AS17" s="989"/>
      <c r="AT17" s="989"/>
      <c r="AU17" s="989"/>
      <c r="AV17" s="989"/>
      <c r="AW17" s="989"/>
      <c r="AX17" s="989"/>
      <c r="AY17" s="989"/>
      <c r="AZ17" s="989"/>
      <c r="BA17" s="989"/>
      <c r="BB17" s="989"/>
      <c r="BC17" s="989"/>
      <c r="BD17" s="989"/>
      <c r="BE17" s="989"/>
      <c r="BF17" s="989"/>
      <c r="BG17" s="989"/>
      <c r="BH17" s="989"/>
      <c r="BI17" s="989"/>
      <c r="BJ17" s="989"/>
      <c r="BK17" s="989"/>
      <c r="BL17" s="989"/>
      <c r="BM17" s="989"/>
      <c r="BN17" s="989"/>
      <c r="BO17" s="989"/>
      <c r="BP17" s="989"/>
      <c r="BQ17" s="989"/>
      <c r="BR17" s="989"/>
      <c r="BS17" s="989"/>
      <c r="BT17" s="989"/>
      <c r="BU17" s="989"/>
      <c r="BV17" s="989"/>
      <c r="BW17" s="989"/>
      <c r="BX17" s="989"/>
      <c r="BY17" s="989"/>
      <c r="BZ17" s="989"/>
      <c r="CA17" s="989"/>
      <c r="CB17" s="989"/>
      <c r="CC17" s="989"/>
      <c r="CD17" s="989"/>
      <c r="CE17" s="989"/>
      <c r="CF17" s="989"/>
      <c r="CG17" s="989"/>
      <c r="CH17" s="989"/>
      <c r="CI17" s="989"/>
      <c r="CJ17" s="989"/>
      <c r="CK17" s="989"/>
      <c r="CL17" s="989"/>
      <c r="CM17" s="989"/>
      <c r="CN17" s="979" t="s">
        <v>139</v>
      </c>
      <c r="CO17" s="980"/>
      <c r="CP17" s="980"/>
      <c r="CQ17" s="980"/>
      <c r="CR17" s="980"/>
      <c r="CS17" s="980"/>
      <c r="CT17" s="980"/>
      <c r="CU17" s="981"/>
      <c r="CV17" s="430" t="s">
        <v>25</v>
      </c>
      <c r="CW17" s="430" t="s">
        <v>25</v>
      </c>
      <c r="CX17" s="572">
        <v>0</v>
      </c>
      <c r="CY17" s="431">
        <v>0</v>
      </c>
      <c r="CZ17" s="431">
        <v>0</v>
      </c>
      <c r="DA17" s="454">
        <v>0</v>
      </c>
    </row>
    <row r="18" spans="1:106" customFormat="1" ht="35.25" customHeight="1">
      <c r="A18" s="974" t="s">
        <v>140</v>
      </c>
      <c r="B18" s="975"/>
      <c r="C18" s="975"/>
      <c r="D18" s="975"/>
      <c r="E18" s="975"/>
      <c r="F18" s="975"/>
      <c r="G18" s="975"/>
      <c r="H18" s="976"/>
      <c r="I18" s="988" t="s">
        <v>179</v>
      </c>
      <c r="J18" s="989"/>
      <c r="K18" s="989"/>
      <c r="L18" s="989"/>
      <c r="M18" s="989"/>
      <c r="N18" s="989"/>
      <c r="O18" s="989"/>
      <c r="P18" s="989"/>
      <c r="Q18" s="989"/>
      <c r="R18" s="989"/>
      <c r="S18" s="989"/>
      <c r="T18" s="989"/>
      <c r="U18" s="989"/>
      <c r="V18" s="989"/>
      <c r="W18" s="989"/>
      <c r="X18" s="989"/>
      <c r="Y18" s="989"/>
      <c r="Z18" s="989"/>
      <c r="AA18" s="989"/>
      <c r="AB18" s="989"/>
      <c r="AC18" s="989"/>
      <c r="AD18" s="989"/>
      <c r="AE18" s="989"/>
      <c r="AF18" s="989"/>
      <c r="AG18" s="989"/>
      <c r="AH18" s="989"/>
      <c r="AI18" s="989"/>
      <c r="AJ18" s="989"/>
      <c r="AK18" s="989"/>
      <c r="AL18" s="989"/>
      <c r="AM18" s="989"/>
      <c r="AN18" s="989"/>
      <c r="AO18" s="989"/>
      <c r="AP18" s="989"/>
      <c r="AQ18" s="989"/>
      <c r="AR18" s="989"/>
      <c r="AS18" s="989"/>
      <c r="AT18" s="989"/>
      <c r="AU18" s="989"/>
      <c r="AV18" s="989"/>
      <c r="AW18" s="989"/>
      <c r="AX18" s="989"/>
      <c r="AY18" s="989"/>
      <c r="AZ18" s="989"/>
      <c r="BA18" s="989"/>
      <c r="BB18" s="989"/>
      <c r="BC18" s="989"/>
      <c r="BD18" s="989"/>
      <c r="BE18" s="989"/>
      <c r="BF18" s="989"/>
      <c r="BG18" s="989"/>
      <c r="BH18" s="989"/>
      <c r="BI18" s="989"/>
      <c r="BJ18" s="989"/>
      <c r="BK18" s="989"/>
      <c r="BL18" s="989"/>
      <c r="BM18" s="989"/>
      <c r="BN18" s="989"/>
      <c r="BO18" s="989"/>
      <c r="BP18" s="989"/>
      <c r="BQ18" s="989"/>
      <c r="BR18" s="989"/>
      <c r="BS18" s="989"/>
      <c r="BT18" s="989"/>
      <c r="BU18" s="989"/>
      <c r="BV18" s="989"/>
      <c r="BW18" s="989"/>
      <c r="BX18" s="989"/>
      <c r="BY18" s="989"/>
      <c r="BZ18" s="989"/>
      <c r="CA18" s="989"/>
      <c r="CB18" s="989"/>
      <c r="CC18" s="989"/>
      <c r="CD18" s="989"/>
      <c r="CE18" s="989"/>
      <c r="CF18" s="989"/>
      <c r="CG18" s="989"/>
      <c r="CH18" s="989"/>
      <c r="CI18" s="989"/>
      <c r="CJ18" s="989"/>
      <c r="CK18" s="989"/>
      <c r="CL18" s="989"/>
      <c r="CM18" s="989"/>
      <c r="CN18" s="979" t="s">
        <v>141</v>
      </c>
      <c r="CO18" s="980"/>
      <c r="CP18" s="980"/>
      <c r="CQ18" s="980"/>
      <c r="CR18" s="980"/>
      <c r="CS18" s="980"/>
      <c r="CT18" s="980"/>
      <c r="CU18" s="981"/>
      <c r="CV18" s="430" t="s">
        <v>25</v>
      </c>
      <c r="CW18" s="430" t="s">
        <v>25</v>
      </c>
      <c r="CX18" s="572">
        <f>18866588.27+26800-30800+4000-450000+628219.2-164-8779.46+628219.2-489450.32</f>
        <v>19174632.890000001</v>
      </c>
      <c r="CY18" s="431">
        <v>11790015.42</v>
      </c>
      <c r="CZ18" s="431">
        <v>11695459.23</v>
      </c>
      <c r="DA18" s="454">
        <v>0</v>
      </c>
      <c r="DB18" s="112">
        <f>CX18-'[2]ФХД_ Сведения по выплатам на з'!$CX$10</f>
        <v>308044.62</v>
      </c>
    </row>
    <row r="19" spans="1:106" customFormat="1" ht="72" customHeight="1">
      <c r="A19" s="990" t="s">
        <v>142</v>
      </c>
      <c r="B19" s="991"/>
      <c r="C19" s="991"/>
      <c r="D19" s="991"/>
      <c r="E19" s="991"/>
      <c r="F19" s="991"/>
      <c r="G19" s="991"/>
      <c r="H19" s="992"/>
      <c r="I19" s="1001" t="s">
        <v>518</v>
      </c>
      <c r="J19" s="1002"/>
      <c r="K19" s="1002"/>
      <c r="L19" s="1002"/>
      <c r="M19" s="1002"/>
      <c r="N19" s="1002"/>
      <c r="O19" s="1002"/>
      <c r="P19" s="1002"/>
      <c r="Q19" s="1002"/>
      <c r="R19" s="1002"/>
      <c r="S19" s="1002"/>
      <c r="T19" s="1002"/>
      <c r="U19" s="1002"/>
      <c r="V19" s="1002"/>
      <c r="W19" s="1002"/>
      <c r="X19" s="1002"/>
      <c r="Y19" s="1002"/>
      <c r="Z19" s="1002"/>
      <c r="AA19" s="1002"/>
      <c r="AB19" s="1002"/>
      <c r="AC19" s="1002"/>
      <c r="AD19" s="1002"/>
      <c r="AE19" s="1002"/>
      <c r="AF19" s="1002"/>
      <c r="AG19" s="1002"/>
      <c r="AH19" s="1002"/>
      <c r="AI19" s="1002"/>
      <c r="AJ19" s="1002"/>
      <c r="AK19" s="1002"/>
      <c r="AL19" s="1002"/>
      <c r="AM19" s="1002"/>
      <c r="AN19" s="1002"/>
      <c r="AO19" s="1002"/>
      <c r="AP19" s="1002"/>
      <c r="AQ19" s="1002"/>
      <c r="AR19" s="1002"/>
      <c r="AS19" s="1002"/>
      <c r="AT19" s="1002"/>
      <c r="AU19" s="1002"/>
      <c r="AV19" s="1002"/>
      <c r="AW19" s="1002"/>
      <c r="AX19" s="1002"/>
      <c r="AY19" s="1002"/>
      <c r="AZ19" s="1002"/>
      <c r="BA19" s="1002"/>
      <c r="BB19" s="1002"/>
      <c r="BC19" s="1002"/>
      <c r="BD19" s="1002"/>
      <c r="BE19" s="1002"/>
      <c r="BF19" s="1002"/>
      <c r="BG19" s="1002"/>
      <c r="BH19" s="1002"/>
      <c r="BI19" s="1002"/>
      <c r="BJ19" s="1002"/>
      <c r="BK19" s="1002"/>
      <c r="BL19" s="1002"/>
      <c r="BM19" s="1002"/>
      <c r="BN19" s="1002"/>
      <c r="BO19" s="1002"/>
      <c r="BP19" s="1002"/>
      <c r="BQ19" s="1002"/>
      <c r="BR19" s="1002"/>
      <c r="BS19" s="1002"/>
      <c r="BT19" s="1002"/>
      <c r="BU19" s="1002"/>
      <c r="BV19" s="1002"/>
      <c r="BW19" s="1002"/>
      <c r="BX19" s="1002"/>
      <c r="BY19" s="1002"/>
      <c r="BZ19" s="1002"/>
      <c r="CA19" s="1002"/>
      <c r="CB19" s="1002"/>
      <c r="CC19" s="1002"/>
      <c r="CD19" s="1002"/>
      <c r="CE19" s="1002"/>
      <c r="CF19" s="1002"/>
      <c r="CG19" s="1002"/>
      <c r="CH19" s="1002"/>
      <c r="CI19" s="1002"/>
      <c r="CJ19" s="1002"/>
      <c r="CK19" s="1002"/>
      <c r="CL19" s="1002"/>
      <c r="CM19" s="1002"/>
      <c r="CN19" s="995" t="s">
        <v>143</v>
      </c>
      <c r="CO19" s="996"/>
      <c r="CP19" s="996"/>
      <c r="CQ19" s="996"/>
      <c r="CR19" s="996"/>
      <c r="CS19" s="996"/>
      <c r="CT19" s="996"/>
      <c r="CU19" s="997"/>
      <c r="CV19" s="428" t="s">
        <v>25</v>
      </c>
      <c r="CW19" s="428" t="s">
        <v>25</v>
      </c>
      <c r="CX19" s="571">
        <f>SUM(CX20:CX22)</f>
        <v>438000</v>
      </c>
      <c r="CY19" s="429">
        <f>SUM(CY20:CY22)</f>
        <v>0</v>
      </c>
      <c r="CZ19" s="429">
        <f>SUM(CZ20:CZ22)</f>
        <v>0</v>
      </c>
      <c r="DA19" s="453">
        <f>SUM(DA20:DA22)</f>
        <v>0</v>
      </c>
    </row>
    <row r="20" spans="1:106" customFormat="1" ht="33" customHeight="1">
      <c r="A20" s="974" t="s">
        <v>144</v>
      </c>
      <c r="B20" s="975"/>
      <c r="C20" s="975"/>
      <c r="D20" s="975"/>
      <c r="E20" s="975"/>
      <c r="F20" s="975"/>
      <c r="G20" s="975"/>
      <c r="H20" s="976"/>
      <c r="I20" s="988" t="s">
        <v>515</v>
      </c>
      <c r="J20" s="989"/>
      <c r="K20" s="989"/>
      <c r="L20" s="989"/>
      <c r="M20" s="989"/>
      <c r="N20" s="989"/>
      <c r="O20" s="989"/>
      <c r="P20" s="989"/>
      <c r="Q20" s="989"/>
      <c r="R20" s="989"/>
      <c r="S20" s="989"/>
      <c r="T20" s="989"/>
      <c r="U20" s="989"/>
      <c r="V20" s="989"/>
      <c r="W20" s="989"/>
      <c r="X20" s="989"/>
      <c r="Y20" s="989"/>
      <c r="Z20" s="989"/>
      <c r="AA20" s="989"/>
      <c r="AB20" s="989"/>
      <c r="AC20" s="989"/>
      <c r="AD20" s="989"/>
      <c r="AE20" s="989"/>
      <c r="AF20" s="989"/>
      <c r="AG20" s="989"/>
      <c r="AH20" s="989"/>
      <c r="AI20" s="989"/>
      <c r="AJ20" s="989"/>
      <c r="AK20" s="989"/>
      <c r="AL20" s="989"/>
      <c r="AM20" s="989"/>
      <c r="AN20" s="989"/>
      <c r="AO20" s="989"/>
      <c r="AP20" s="989"/>
      <c r="AQ20" s="989"/>
      <c r="AR20" s="989"/>
      <c r="AS20" s="989"/>
      <c r="AT20" s="989"/>
      <c r="AU20" s="989"/>
      <c r="AV20" s="989"/>
      <c r="AW20" s="989"/>
      <c r="AX20" s="989"/>
      <c r="AY20" s="989"/>
      <c r="AZ20" s="989"/>
      <c r="BA20" s="989"/>
      <c r="BB20" s="989"/>
      <c r="BC20" s="989"/>
      <c r="BD20" s="989"/>
      <c r="BE20" s="989"/>
      <c r="BF20" s="989"/>
      <c r="BG20" s="989"/>
      <c r="BH20" s="989"/>
      <c r="BI20" s="989"/>
      <c r="BJ20" s="989"/>
      <c r="BK20" s="989"/>
      <c r="BL20" s="989"/>
      <c r="BM20" s="989"/>
      <c r="BN20" s="989"/>
      <c r="BO20" s="989"/>
      <c r="BP20" s="989"/>
      <c r="BQ20" s="989"/>
      <c r="BR20" s="989"/>
      <c r="BS20" s="989"/>
      <c r="BT20" s="989"/>
      <c r="BU20" s="989"/>
      <c r="BV20" s="989"/>
      <c r="BW20" s="989"/>
      <c r="BX20" s="989"/>
      <c r="BY20" s="989"/>
      <c r="BZ20" s="989"/>
      <c r="CA20" s="989"/>
      <c r="CB20" s="989"/>
      <c r="CC20" s="989"/>
      <c r="CD20" s="989"/>
      <c r="CE20" s="989"/>
      <c r="CF20" s="989"/>
      <c r="CG20" s="989"/>
      <c r="CH20" s="989"/>
      <c r="CI20" s="989"/>
      <c r="CJ20" s="989"/>
      <c r="CK20" s="989"/>
      <c r="CL20" s="989"/>
      <c r="CM20" s="989"/>
      <c r="CN20" s="979" t="s">
        <v>145</v>
      </c>
      <c r="CO20" s="980"/>
      <c r="CP20" s="980"/>
      <c r="CQ20" s="980"/>
      <c r="CR20" s="980"/>
      <c r="CS20" s="980"/>
      <c r="CT20" s="980"/>
      <c r="CU20" s="981"/>
      <c r="CV20" s="430" t="s">
        <v>25</v>
      </c>
      <c r="CW20" s="430" t="s">
        <v>25</v>
      </c>
      <c r="CX20" s="572">
        <v>0</v>
      </c>
      <c r="CY20" s="431">
        <v>0</v>
      </c>
      <c r="CZ20" s="431">
        <v>0</v>
      </c>
      <c r="DA20" s="454">
        <v>0</v>
      </c>
    </row>
    <row r="21" spans="1:106" s="121" customFormat="1" ht="33" customHeight="1">
      <c r="A21" s="974"/>
      <c r="B21" s="975"/>
      <c r="C21" s="975"/>
      <c r="D21" s="975"/>
      <c r="E21" s="975"/>
      <c r="F21" s="975"/>
      <c r="G21" s="975"/>
      <c r="H21" s="976"/>
      <c r="I21" s="988" t="s">
        <v>58</v>
      </c>
      <c r="J21" s="989"/>
      <c r="K21" s="989"/>
      <c r="L21" s="989"/>
      <c r="M21" s="989"/>
      <c r="N21" s="989"/>
      <c r="O21" s="989"/>
      <c r="P21" s="989"/>
      <c r="Q21" s="989"/>
      <c r="R21" s="989"/>
      <c r="S21" s="989"/>
      <c r="T21" s="989"/>
      <c r="U21" s="989"/>
      <c r="V21" s="989"/>
      <c r="W21" s="989"/>
      <c r="X21" s="989"/>
      <c r="Y21" s="989"/>
      <c r="Z21" s="989"/>
      <c r="AA21" s="989"/>
      <c r="AB21" s="989"/>
      <c r="AC21" s="989"/>
      <c r="AD21" s="989"/>
      <c r="AE21" s="989"/>
      <c r="AF21" s="989"/>
      <c r="AG21" s="989"/>
      <c r="AH21" s="989"/>
      <c r="AI21" s="989"/>
      <c r="AJ21" s="989"/>
      <c r="AK21" s="989"/>
      <c r="AL21" s="989"/>
      <c r="AM21" s="989"/>
      <c r="AN21" s="989"/>
      <c r="AO21" s="989"/>
      <c r="AP21" s="989"/>
      <c r="AQ21" s="989"/>
      <c r="AR21" s="989"/>
      <c r="AS21" s="989"/>
      <c r="AT21" s="989"/>
      <c r="AU21" s="989"/>
      <c r="AV21" s="989"/>
      <c r="AW21" s="989"/>
      <c r="AX21" s="989"/>
      <c r="AY21" s="989"/>
      <c r="AZ21" s="989"/>
      <c r="BA21" s="989"/>
      <c r="BB21" s="989"/>
      <c r="BC21" s="989"/>
      <c r="BD21" s="989"/>
      <c r="BE21" s="989"/>
      <c r="BF21" s="989"/>
      <c r="BG21" s="989"/>
      <c r="BH21" s="989"/>
      <c r="BI21" s="989"/>
      <c r="BJ21" s="989"/>
      <c r="BK21" s="989"/>
      <c r="BL21" s="989"/>
      <c r="BM21" s="989"/>
      <c r="BN21" s="989"/>
      <c r="BO21" s="989"/>
      <c r="BP21" s="989"/>
      <c r="BQ21" s="989"/>
      <c r="BR21" s="989"/>
      <c r="BS21" s="989"/>
      <c r="BT21" s="989"/>
      <c r="BU21" s="989"/>
      <c r="BV21" s="989"/>
      <c r="BW21" s="989"/>
      <c r="BX21" s="989"/>
      <c r="BY21" s="989"/>
      <c r="BZ21" s="989"/>
      <c r="CA21" s="989"/>
      <c r="CB21" s="989"/>
      <c r="CC21" s="989"/>
      <c r="CD21" s="989"/>
      <c r="CE21" s="989"/>
      <c r="CF21" s="989"/>
      <c r="CG21" s="989"/>
      <c r="CH21" s="989"/>
      <c r="CI21" s="989"/>
      <c r="CJ21" s="989"/>
      <c r="CK21" s="989"/>
      <c r="CL21" s="989"/>
      <c r="CM21" s="989"/>
      <c r="CN21" s="998" t="s">
        <v>190</v>
      </c>
      <c r="CO21" s="999"/>
      <c r="CP21" s="999"/>
      <c r="CQ21" s="999"/>
      <c r="CR21" s="999"/>
      <c r="CS21" s="999"/>
      <c r="CT21" s="999"/>
      <c r="CU21" s="1000"/>
      <c r="CV21" s="430"/>
      <c r="CW21" s="430"/>
      <c r="CX21" s="572">
        <v>0</v>
      </c>
      <c r="CY21" s="431">
        <v>0</v>
      </c>
      <c r="CZ21" s="431">
        <v>0</v>
      </c>
      <c r="DA21" s="454">
        <v>0</v>
      </c>
    </row>
    <row r="22" spans="1:106" customFormat="1" ht="33" customHeight="1">
      <c r="A22" s="974" t="s">
        <v>146</v>
      </c>
      <c r="B22" s="975"/>
      <c r="C22" s="975"/>
      <c r="D22" s="975"/>
      <c r="E22" s="975"/>
      <c r="F22" s="975"/>
      <c r="G22" s="975"/>
      <c r="H22" s="976"/>
      <c r="I22" s="988" t="s">
        <v>179</v>
      </c>
      <c r="J22" s="989"/>
      <c r="K22" s="989"/>
      <c r="L22" s="989"/>
      <c r="M22" s="989"/>
      <c r="N22" s="989"/>
      <c r="O22" s="989"/>
      <c r="P22" s="989"/>
      <c r="Q22" s="989"/>
      <c r="R22" s="989"/>
      <c r="S22" s="989"/>
      <c r="T22" s="989"/>
      <c r="U22" s="989"/>
      <c r="V22" s="989"/>
      <c r="W22" s="989"/>
      <c r="X22" s="989"/>
      <c r="Y22" s="989"/>
      <c r="Z22" s="989"/>
      <c r="AA22" s="989"/>
      <c r="AB22" s="989"/>
      <c r="AC22" s="989"/>
      <c r="AD22" s="989"/>
      <c r="AE22" s="989"/>
      <c r="AF22" s="989"/>
      <c r="AG22" s="989"/>
      <c r="AH22" s="989"/>
      <c r="AI22" s="989"/>
      <c r="AJ22" s="989"/>
      <c r="AK22" s="989"/>
      <c r="AL22" s="989"/>
      <c r="AM22" s="989"/>
      <c r="AN22" s="989"/>
      <c r="AO22" s="989"/>
      <c r="AP22" s="989"/>
      <c r="AQ22" s="989"/>
      <c r="AR22" s="989"/>
      <c r="AS22" s="989"/>
      <c r="AT22" s="989"/>
      <c r="AU22" s="989"/>
      <c r="AV22" s="989"/>
      <c r="AW22" s="989"/>
      <c r="AX22" s="989"/>
      <c r="AY22" s="989"/>
      <c r="AZ22" s="989"/>
      <c r="BA22" s="989"/>
      <c r="BB22" s="989"/>
      <c r="BC22" s="989"/>
      <c r="BD22" s="989"/>
      <c r="BE22" s="989"/>
      <c r="BF22" s="989"/>
      <c r="BG22" s="989"/>
      <c r="BH22" s="989"/>
      <c r="BI22" s="989"/>
      <c r="BJ22" s="989"/>
      <c r="BK22" s="989"/>
      <c r="BL22" s="989"/>
      <c r="BM22" s="989"/>
      <c r="BN22" s="989"/>
      <c r="BO22" s="989"/>
      <c r="BP22" s="989"/>
      <c r="BQ22" s="989"/>
      <c r="BR22" s="989"/>
      <c r="BS22" s="989"/>
      <c r="BT22" s="989"/>
      <c r="BU22" s="989"/>
      <c r="BV22" s="989"/>
      <c r="BW22" s="989"/>
      <c r="BX22" s="989"/>
      <c r="BY22" s="989"/>
      <c r="BZ22" s="989"/>
      <c r="CA22" s="989"/>
      <c r="CB22" s="989"/>
      <c r="CC22" s="989"/>
      <c r="CD22" s="989"/>
      <c r="CE22" s="989"/>
      <c r="CF22" s="989"/>
      <c r="CG22" s="989"/>
      <c r="CH22" s="989"/>
      <c r="CI22" s="989"/>
      <c r="CJ22" s="989"/>
      <c r="CK22" s="989"/>
      <c r="CL22" s="989"/>
      <c r="CM22" s="989"/>
      <c r="CN22" s="979" t="s">
        <v>147</v>
      </c>
      <c r="CO22" s="980"/>
      <c r="CP22" s="980"/>
      <c r="CQ22" s="980"/>
      <c r="CR22" s="980"/>
      <c r="CS22" s="980"/>
      <c r="CT22" s="980"/>
      <c r="CU22" s="981"/>
      <c r="CV22" s="430" t="s">
        <v>25</v>
      </c>
      <c r="CW22" s="430" t="s">
        <v>25</v>
      </c>
      <c r="CX22" s="572">
        <f>370000+68000</f>
        <v>438000</v>
      </c>
      <c r="CY22" s="431">
        <v>0</v>
      </c>
      <c r="CZ22" s="431">
        <v>0</v>
      </c>
      <c r="DA22" s="454">
        <v>0</v>
      </c>
    </row>
    <row r="23" spans="1:106" customFormat="1" ht="44.25" customHeight="1">
      <c r="A23" s="990" t="s">
        <v>148</v>
      </c>
      <c r="B23" s="991"/>
      <c r="C23" s="991"/>
      <c r="D23" s="991"/>
      <c r="E23" s="991"/>
      <c r="F23" s="991"/>
      <c r="G23" s="991"/>
      <c r="H23" s="992"/>
      <c r="I23" s="993" t="s">
        <v>521</v>
      </c>
      <c r="J23" s="994"/>
      <c r="K23" s="994"/>
      <c r="L23" s="994"/>
      <c r="M23" s="994"/>
      <c r="N23" s="994"/>
      <c r="O23" s="994"/>
      <c r="P23" s="994"/>
      <c r="Q23" s="994"/>
      <c r="R23" s="994"/>
      <c r="S23" s="994"/>
      <c r="T23" s="994"/>
      <c r="U23" s="994"/>
      <c r="V23" s="994"/>
      <c r="W23" s="994"/>
      <c r="X23" s="994"/>
      <c r="Y23" s="994"/>
      <c r="Z23" s="994"/>
      <c r="AA23" s="994"/>
      <c r="AB23" s="994"/>
      <c r="AC23" s="994"/>
      <c r="AD23" s="994"/>
      <c r="AE23" s="994"/>
      <c r="AF23" s="994"/>
      <c r="AG23" s="994"/>
      <c r="AH23" s="994"/>
      <c r="AI23" s="994"/>
      <c r="AJ23" s="994"/>
      <c r="AK23" s="994"/>
      <c r="AL23" s="994"/>
      <c r="AM23" s="994"/>
      <c r="AN23" s="994"/>
      <c r="AO23" s="994"/>
      <c r="AP23" s="994"/>
      <c r="AQ23" s="994"/>
      <c r="AR23" s="994"/>
      <c r="AS23" s="994"/>
      <c r="AT23" s="994"/>
      <c r="AU23" s="994"/>
      <c r="AV23" s="994"/>
      <c r="AW23" s="994"/>
      <c r="AX23" s="994"/>
      <c r="AY23" s="994"/>
      <c r="AZ23" s="994"/>
      <c r="BA23" s="994"/>
      <c r="BB23" s="994"/>
      <c r="BC23" s="994"/>
      <c r="BD23" s="994"/>
      <c r="BE23" s="994"/>
      <c r="BF23" s="994"/>
      <c r="BG23" s="994"/>
      <c r="BH23" s="994"/>
      <c r="BI23" s="994"/>
      <c r="BJ23" s="994"/>
      <c r="BK23" s="994"/>
      <c r="BL23" s="994"/>
      <c r="BM23" s="994"/>
      <c r="BN23" s="994"/>
      <c r="BO23" s="994"/>
      <c r="BP23" s="994"/>
      <c r="BQ23" s="994"/>
      <c r="BR23" s="994"/>
      <c r="BS23" s="994"/>
      <c r="BT23" s="994"/>
      <c r="BU23" s="994"/>
      <c r="BV23" s="994"/>
      <c r="BW23" s="994"/>
      <c r="BX23" s="994"/>
      <c r="BY23" s="994"/>
      <c r="BZ23" s="994"/>
      <c r="CA23" s="994"/>
      <c r="CB23" s="994"/>
      <c r="CC23" s="994"/>
      <c r="CD23" s="994"/>
      <c r="CE23" s="994"/>
      <c r="CF23" s="994"/>
      <c r="CG23" s="994"/>
      <c r="CH23" s="994"/>
      <c r="CI23" s="994"/>
      <c r="CJ23" s="994"/>
      <c r="CK23" s="994"/>
      <c r="CL23" s="994"/>
      <c r="CM23" s="994"/>
      <c r="CN23" s="995" t="s">
        <v>149</v>
      </c>
      <c r="CO23" s="996"/>
      <c r="CP23" s="996"/>
      <c r="CQ23" s="996"/>
      <c r="CR23" s="996"/>
      <c r="CS23" s="996"/>
      <c r="CT23" s="996"/>
      <c r="CU23" s="997"/>
      <c r="CV23" s="428" t="s">
        <v>25</v>
      </c>
      <c r="CW23" s="428" t="s">
        <v>25</v>
      </c>
      <c r="CX23" s="571">
        <v>0</v>
      </c>
      <c r="CY23" s="429">
        <v>0</v>
      </c>
      <c r="CZ23" s="429">
        <v>0</v>
      </c>
      <c r="DA23" s="453">
        <v>0</v>
      </c>
    </row>
    <row r="24" spans="1:106" s="121" customFormat="1" ht="21" customHeight="1">
      <c r="A24" s="974"/>
      <c r="B24" s="975"/>
      <c r="C24" s="975"/>
      <c r="D24" s="975"/>
      <c r="E24" s="975"/>
      <c r="F24" s="975"/>
      <c r="G24" s="975"/>
      <c r="H24" s="976"/>
      <c r="I24" s="988" t="s">
        <v>58</v>
      </c>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989"/>
      <c r="AK24" s="989"/>
      <c r="AL24" s="989"/>
      <c r="AM24" s="989"/>
      <c r="AN24" s="989"/>
      <c r="AO24" s="989"/>
      <c r="AP24" s="989"/>
      <c r="AQ24" s="989"/>
      <c r="AR24" s="989"/>
      <c r="AS24" s="989"/>
      <c r="AT24" s="989"/>
      <c r="AU24" s="989"/>
      <c r="AV24" s="989"/>
      <c r="AW24" s="989"/>
      <c r="AX24" s="989"/>
      <c r="AY24" s="989"/>
      <c r="AZ24" s="989"/>
      <c r="BA24" s="989"/>
      <c r="BB24" s="989"/>
      <c r="BC24" s="989"/>
      <c r="BD24" s="989"/>
      <c r="BE24" s="989"/>
      <c r="BF24" s="989"/>
      <c r="BG24" s="989"/>
      <c r="BH24" s="989"/>
      <c r="BI24" s="989"/>
      <c r="BJ24" s="989"/>
      <c r="BK24" s="989"/>
      <c r="BL24" s="989"/>
      <c r="BM24" s="989"/>
      <c r="BN24" s="989"/>
      <c r="BO24" s="989"/>
      <c r="BP24" s="989"/>
      <c r="BQ24" s="989"/>
      <c r="BR24" s="989"/>
      <c r="BS24" s="989"/>
      <c r="BT24" s="989"/>
      <c r="BU24" s="989"/>
      <c r="BV24" s="989"/>
      <c r="BW24" s="989"/>
      <c r="BX24" s="989"/>
      <c r="BY24" s="989"/>
      <c r="BZ24" s="989"/>
      <c r="CA24" s="989"/>
      <c r="CB24" s="989"/>
      <c r="CC24" s="989"/>
      <c r="CD24" s="989"/>
      <c r="CE24" s="989"/>
      <c r="CF24" s="989"/>
      <c r="CG24" s="989"/>
      <c r="CH24" s="989"/>
      <c r="CI24" s="989"/>
      <c r="CJ24" s="989"/>
      <c r="CK24" s="989"/>
      <c r="CL24" s="989"/>
      <c r="CM24" s="989"/>
      <c r="CN24" s="998" t="s">
        <v>191</v>
      </c>
      <c r="CO24" s="999"/>
      <c r="CP24" s="999"/>
      <c r="CQ24" s="999"/>
      <c r="CR24" s="999"/>
      <c r="CS24" s="999"/>
      <c r="CT24" s="999"/>
      <c r="CU24" s="1000"/>
      <c r="CV24" s="430"/>
      <c r="CW24" s="430"/>
      <c r="CX24" s="572">
        <v>0</v>
      </c>
      <c r="CY24" s="431">
        <v>0</v>
      </c>
      <c r="CZ24" s="431">
        <v>0</v>
      </c>
      <c r="DA24" s="454">
        <v>0</v>
      </c>
    </row>
    <row r="25" spans="1:106" s="121" customFormat="1" ht="35.25" customHeight="1">
      <c r="A25" s="990" t="s">
        <v>150</v>
      </c>
      <c r="B25" s="991"/>
      <c r="C25" s="991"/>
      <c r="D25" s="991"/>
      <c r="E25" s="991"/>
      <c r="F25" s="991"/>
      <c r="G25" s="991"/>
      <c r="H25" s="992"/>
      <c r="I25" s="1001" t="s">
        <v>522</v>
      </c>
      <c r="J25" s="1002"/>
      <c r="K25" s="1002"/>
      <c r="L25" s="1002"/>
      <c r="M25" s="1002"/>
      <c r="N25" s="1002"/>
      <c r="O25" s="1002"/>
      <c r="P25" s="1002"/>
      <c r="Q25" s="1002"/>
      <c r="R25" s="1002"/>
      <c r="S25" s="1002"/>
      <c r="T25" s="1002"/>
      <c r="U25" s="1002"/>
      <c r="V25" s="1002"/>
      <c r="W25" s="1002"/>
      <c r="X25" s="1002"/>
      <c r="Y25" s="1002"/>
      <c r="Z25" s="1002"/>
      <c r="AA25" s="1002"/>
      <c r="AB25" s="1002"/>
      <c r="AC25" s="1002"/>
      <c r="AD25" s="1002"/>
      <c r="AE25" s="1002"/>
      <c r="AF25" s="1002"/>
      <c r="AG25" s="1002"/>
      <c r="AH25" s="1002"/>
      <c r="AI25" s="1002"/>
      <c r="AJ25" s="1002"/>
      <c r="AK25" s="1002"/>
      <c r="AL25" s="1002"/>
      <c r="AM25" s="1002"/>
      <c r="AN25" s="1002"/>
      <c r="AO25" s="1002"/>
      <c r="AP25" s="1002"/>
      <c r="AQ25" s="1002"/>
      <c r="AR25" s="1002"/>
      <c r="AS25" s="1002"/>
      <c r="AT25" s="1002"/>
      <c r="AU25" s="1002"/>
      <c r="AV25" s="1002"/>
      <c r="AW25" s="1002"/>
      <c r="AX25" s="1002"/>
      <c r="AY25" s="1002"/>
      <c r="AZ25" s="1002"/>
      <c r="BA25" s="1002"/>
      <c r="BB25" s="1002"/>
      <c r="BC25" s="1002"/>
      <c r="BD25" s="1002"/>
      <c r="BE25" s="1002"/>
      <c r="BF25" s="1002"/>
      <c r="BG25" s="1002"/>
      <c r="BH25" s="1002"/>
      <c r="BI25" s="1002"/>
      <c r="BJ25" s="1002"/>
      <c r="BK25" s="1002"/>
      <c r="BL25" s="1002"/>
      <c r="BM25" s="1002"/>
      <c r="BN25" s="1002"/>
      <c r="BO25" s="1002"/>
      <c r="BP25" s="1002"/>
      <c r="BQ25" s="1002"/>
      <c r="BR25" s="1002"/>
      <c r="BS25" s="1002"/>
      <c r="BT25" s="1002"/>
      <c r="BU25" s="1002"/>
      <c r="BV25" s="1002"/>
      <c r="BW25" s="1002"/>
      <c r="BX25" s="1002"/>
      <c r="BY25" s="1002"/>
      <c r="BZ25" s="1002"/>
      <c r="CA25" s="1002"/>
      <c r="CB25" s="1002"/>
      <c r="CC25" s="1002"/>
      <c r="CD25" s="1002"/>
      <c r="CE25" s="1002"/>
      <c r="CF25" s="1002"/>
      <c r="CG25" s="1002"/>
      <c r="CH25" s="1002"/>
      <c r="CI25" s="1002"/>
      <c r="CJ25" s="1002"/>
      <c r="CK25" s="1002"/>
      <c r="CL25" s="1002"/>
      <c r="CM25" s="1002"/>
      <c r="CN25" s="1035" t="s">
        <v>192</v>
      </c>
      <c r="CO25" s="1036"/>
      <c r="CP25" s="1036"/>
      <c r="CQ25" s="1036"/>
      <c r="CR25" s="1036"/>
      <c r="CS25" s="1036"/>
      <c r="CT25" s="1036"/>
      <c r="CU25" s="1037"/>
      <c r="CV25" s="428" t="s">
        <v>25</v>
      </c>
      <c r="CW25" s="428" t="s">
        <v>25</v>
      </c>
      <c r="CX25" s="571">
        <f>SUM(CX26:CX27)</f>
        <v>0</v>
      </c>
      <c r="CY25" s="429">
        <f>SUM(CY26:CY27)</f>
        <v>0</v>
      </c>
      <c r="CZ25" s="429">
        <f>SUM(CZ26:CZ27)</f>
        <v>0</v>
      </c>
      <c r="DA25" s="453">
        <f>SUM(DA26:DA27)</f>
        <v>0</v>
      </c>
    </row>
    <row r="26" spans="1:106" s="121" customFormat="1" ht="37.5" customHeight="1">
      <c r="A26" s="974" t="s">
        <v>180</v>
      </c>
      <c r="B26" s="975"/>
      <c r="C26" s="975"/>
      <c r="D26" s="975"/>
      <c r="E26" s="975"/>
      <c r="F26" s="975"/>
      <c r="G26" s="975"/>
      <c r="H26" s="976"/>
      <c r="I26" s="988" t="s">
        <v>517</v>
      </c>
      <c r="J26" s="989"/>
      <c r="K26" s="989"/>
      <c r="L26" s="989"/>
      <c r="M26" s="989"/>
      <c r="N26" s="989"/>
      <c r="O26" s="989"/>
      <c r="P26" s="989"/>
      <c r="Q26" s="989"/>
      <c r="R26" s="989"/>
      <c r="S26" s="989"/>
      <c r="T26" s="989"/>
      <c r="U26" s="989"/>
      <c r="V26" s="989"/>
      <c r="W26" s="989"/>
      <c r="X26" s="989"/>
      <c r="Y26" s="989"/>
      <c r="Z26" s="989"/>
      <c r="AA26" s="989"/>
      <c r="AB26" s="989"/>
      <c r="AC26" s="989"/>
      <c r="AD26" s="989"/>
      <c r="AE26" s="989"/>
      <c r="AF26" s="989"/>
      <c r="AG26" s="989"/>
      <c r="AH26" s="989"/>
      <c r="AI26" s="989"/>
      <c r="AJ26" s="989"/>
      <c r="AK26" s="989"/>
      <c r="AL26" s="989"/>
      <c r="AM26" s="989"/>
      <c r="AN26" s="989"/>
      <c r="AO26" s="989"/>
      <c r="AP26" s="989"/>
      <c r="AQ26" s="989"/>
      <c r="AR26" s="989"/>
      <c r="AS26" s="989"/>
      <c r="AT26" s="989"/>
      <c r="AU26" s="989"/>
      <c r="AV26" s="989"/>
      <c r="AW26" s="989"/>
      <c r="AX26" s="989"/>
      <c r="AY26" s="989"/>
      <c r="AZ26" s="989"/>
      <c r="BA26" s="989"/>
      <c r="BB26" s="989"/>
      <c r="BC26" s="989"/>
      <c r="BD26" s="989"/>
      <c r="BE26" s="989"/>
      <c r="BF26" s="989"/>
      <c r="BG26" s="989"/>
      <c r="BH26" s="989"/>
      <c r="BI26" s="989"/>
      <c r="BJ26" s="989"/>
      <c r="BK26" s="989"/>
      <c r="BL26" s="989"/>
      <c r="BM26" s="989"/>
      <c r="BN26" s="989"/>
      <c r="BO26" s="989"/>
      <c r="BP26" s="989"/>
      <c r="BQ26" s="989"/>
      <c r="BR26" s="989"/>
      <c r="BS26" s="989"/>
      <c r="BT26" s="989"/>
      <c r="BU26" s="989"/>
      <c r="BV26" s="989"/>
      <c r="BW26" s="989"/>
      <c r="BX26" s="989"/>
      <c r="BY26" s="989"/>
      <c r="BZ26" s="989"/>
      <c r="CA26" s="989"/>
      <c r="CB26" s="989"/>
      <c r="CC26" s="989"/>
      <c r="CD26" s="989"/>
      <c r="CE26" s="989"/>
      <c r="CF26" s="989"/>
      <c r="CG26" s="989"/>
      <c r="CH26" s="989"/>
      <c r="CI26" s="989"/>
      <c r="CJ26" s="989"/>
      <c r="CK26" s="989"/>
      <c r="CL26" s="989"/>
      <c r="CM26" s="989"/>
      <c r="CN26" s="979" t="s">
        <v>193</v>
      </c>
      <c r="CO26" s="980"/>
      <c r="CP26" s="980"/>
      <c r="CQ26" s="980"/>
      <c r="CR26" s="980"/>
      <c r="CS26" s="980"/>
      <c r="CT26" s="980"/>
      <c r="CU26" s="981"/>
      <c r="CV26" s="430" t="s">
        <v>25</v>
      </c>
      <c r="CW26" s="430" t="s">
        <v>25</v>
      </c>
      <c r="CX26" s="572">
        <v>0</v>
      </c>
      <c r="CY26" s="431">
        <v>0</v>
      </c>
      <c r="CZ26" s="431">
        <v>0</v>
      </c>
      <c r="DA26" s="454">
        <v>0</v>
      </c>
    </row>
    <row r="27" spans="1:106" s="121" customFormat="1" ht="37.5" customHeight="1">
      <c r="A27" s="974" t="s">
        <v>181</v>
      </c>
      <c r="B27" s="975"/>
      <c r="C27" s="975"/>
      <c r="D27" s="975"/>
      <c r="E27" s="975"/>
      <c r="F27" s="975"/>
      <c r="G27" s="975"/>
      <c r="H27" s="976"/>
      <c r="I27" s="988" t="s">
        <v>179</v>
      </c>
      <c r="J27" s="989"/>
      <c r="K27" s="989"/>
      <c r="L27" s="989"/>
      <c r="M27" s="989"/>
      <c r="N27" s="989"/>
      <c r="O27" s="989"/>
      <c r="P27" s="989"/>
      <c r="Q27" s="989"/>
      <c r="R27" s="989"/>
      <c r="S27" s="989"/>
      <c r="T27" s="989"/>
      <c r="U27" s="989"/>
      <c r="V27" s="989"/>
      <c r="W27" s="989"/>
      <c r="X27" s="989"/>
      <c r="Y27" s="989"/>
      <c r="Z27" s="989"/>
      <c r="AA27" s="989"/>
      <c r="AB27" s="989"/>
      <c r="AC27" s="989"/>
      <c r="AD27" s="989"/>
      <c r="AE27" s="989"/>
      <c r="AF27" s="989"/>
      <c r="AG27" s="989"/>
      <c r="AH27" s="989"/>
      <c r="AI27" s="989"/>
      <c r="AJ27" s="989"/>
      <c r="AK27" s="989"/>
      <c r="AL27" s="989"/>
      <c r="AM27" s="989"/>
      <c r="AN27" s="989"/>
      <c r="AO27" s="989"/>
      <c r="AP27" s="989"/>
      <c r="AQ27" s="989"/>
      <c r="AR27" s="989"/>
      <c r="AS27" s="989"/>
      <c r="AT27" s="989"/>
      <c r="AU27" s="989"/>
      <c r="AV27" s="989"/>
      <c r="AW27" s="989"/>
      <c r="AX27" s="989"/>
      <c r="AY27" s="989"/>
      <c r="AZ27" s="989"/>
      <c r="BA27" s="989"/>
      <c r="BB27" s="989"/>
      <c r="BC27" s="989"/>
      <c r="BD27" s="989"/>
      <c r="BE27" s="989"/>
      <c r="BF27" s="989"/>
      <c r="BG27" s="989"/>
      <c r="BH27" s="989"/>
      <c r="BI27" s="989"/>
      <c r="BJ27" s="989"/>
      <c r="BK27" s="989"/>
      <c r="BL27" s="989"/>
      <c r="BM27" s="989"/>
      <c r="BN27" s="989"/>
      <c r="BO27" s="989"/>
      <c r="BP27" s="989"/>
      <c r="BQ27" s="989"/>
      <c r="BR27" s="989"/>
      <c r="BS27" s="989"/>
      <c r="BT27" s="989"/>
      <c r="BU27" s="989"/>
      <c r="BV27" s="989"/>
      <c r="BW27" s="989"/>
      <c r="BX27" s="989"/>
      <c r="BY27" s="989"/>
      <c r="BZ27" s="989"/>
      <c r="CA27" s="989"/>
      <c r="CB27" s="989"/>
      <c r="CC27" s="989"/>
      <c r="CD27" s="989"/>
      <c r="CE27" s="989"/>
      <c r="CF27" s="989"/>
      <c r="CG27" s="989"/>
      <c r="CH27" s="989"/>
      <c r="CI27" s="989"/>
      <c r="CJ27" s="989"/>
      <c r="CK27" s="989"/>
      <c r="CL27" s="989"/>
      <c r="CM27" s="989"/>
      <c r="CN27" s="979" t="s">
        <v>194</v>
      </c>
      <c r="CO27" s="980"/>
      <c r="CP27" s="980"/>
      <c r="CQ27" s="980"/>
      <c r="CR27" s="980"/>
      <c r="CS27" s="980"/>
      <c r="CT27" s="980"/>
      <c r="CU27" s="981"/>
      <c r="CV27" s="430" t="s">
        <v>25</v>
      </c>
      <c r="CW27" s="430" t="s">
        <v>25</v>
      </c>
      <c r="CX27" s="572">
        <v>0</v>
      </c>
      <c r="CY27" s="431">
        <v>0</v>
      </c>
      <c r="CZ27" s="431">
        <v>0</v>
      </c>
      <c r="DA27" s="454">
        <v>0</v>
      </c>
    </row>
    <row r="28" spans="1:106" customFormat="1" ht="33" customHeight="1">
      <c r="A28" s="990" t="s">
        <v>195</v>
      </c>
      <c r="B28" s="991"/>
      <c r="C28" s="991"/>
      <c r="D28" s="991"/>
      <c r="E28" s="991"/>
      <c r="F28" s="991"/>
      <c r="G28" s="991"/>
      <c r="H28" s="992"/>
      <c r="I28" s="993" t="s">
        <v>182</v>
      </c>
      <c r="J28" s="994"/>
      <c r="K28" s="994"/>
      <c r="L28" s="994"/>
      <c r="M28" s="994"/>
      <c r="N28" s="994"/>
      <c r="O28" s="994"/>
      <c r="P28" s="994"/>
      <c r="Q28" s="994"/>
      <c r="R28" s="994"/>
      <c r="S28" s="994"/>
      <c r="T28" s="994"/>
      <c r="U28" s="994"/>
      <c r="V28" s="994"/>
      <c r="W28" s="994"/>
      <c r="X28" s="994"/>
      <c r="Y28" s="994"/>
      <c r="Z28" s="994"/>
      <c r="AA28" s="994"/>
      <c r="AB28" s="994"/>
      <c r="AC28" s="994"/>
      <c r="AD28" s="994"/>
      <c r="AE28" s="994"/>
      <c r="AF28" s="994"/>
      <c r="AG28" s="994"/>
      <c r="AH28" s="994"/>
      <c r="AI28" s="994"/>
      <c r="AJ28" s="994"/>
      <c r="AK28" s="994"/>
      <c r="AL28" s="994"/>
      <c r="AM28" s="994"/>
      <c r="AN28" s="994"/>
      <c r="AO28" s="994"/>
      <c r="AP28" s="994"/>
      <c r="AQ28" s="994"/>
      <c r="AR28" s="994"/>
      <c r="AS28" s="994"/>
      <c r="AT28" s="994"/>
      <c r="AU28" s="994"/>
      <c r="AV28" s="994"/>
      <c r="AW28" s="994"/>
      <c r="AX28" s="994"/>
      <c r="AY28" s="994"/>
      <c r="AZ28" s="994"/>
      <c r="BA28" s="994"/>
      <c r="BB28" s="994"/>
      <c r="BC28" s="994"/>
      <c r="BD28" s="994"/>
      <c r="BE28" s="994"/>
      <c r="BF28" s="994"/>
      <c r="BG28" s="994"/>
      <c r="BH28" s="994"/>
      <c r="BI28" s="994"/>
      <c r="BJ28" s="994"/>
      <c r="BK28" s="994"/>
      <c r="BL28" s="994"/>
      <c r="BM28" s="994"/>
      <c r="BN28" s="994"/>
      <c r="BO28" s="994"/>
      <c r="BP28" s="994"/>
      <c r="BQ28" s="994"/>
      <c r="BR28" s="994"/>
      <c r="BS28" s="994"/>
      <c r="BT28" s="994"/>
      <c r="BU28" s="994"/>
      <c r="BV28" s="994"/>
      <c r="BW28" s="994"/>
      <c r="BX28" s="994"/>
      <c r="BY28" s="994"/>
      <c r="BZ28" s="994"/>
      <c r="CA28" s="994"/>
      <c r="CB28" s="994"/>
      <c r="CC28" s="994"/>
      <c r="CD28" s="994"/>
      <c r="CE28" s="994"/>
      <c r="CF28" s="994"/>
      <c r="CG28" s="994"/>
      <c r="CH28" s="994"/>
      <c r="CI28" s="994"/>
      <c r="CJ28" s="994"/>
      <c r="CK28" s="994"/>
      <c r="CL28" s="994"/>
      <c r="CM28" s="994"/>
      <c r="CN28" s="995" t="s">
        <v>151</v>
      </c>
      <c r="CO28" s="996"/>
      <c r="CP28" s="996"/>
      <c r="CQ28" s="996"/>
      <c r="CR28" s="996"/>
      <c r="CS28" s="996"/>
      <c r="CT28" s="996"/>
      <c r="CU28" s="997"/>
      <c r="CV28" s="428" t="s">
        <v>25</v>
      </c>
      <c r="CW28" s="428" t="s">
        <v>25</v>
      </c>
      <c r="CX28" s="571">
        <f>SUM(CX29:CX31)</f>
        <v>5160395.57</v>
      </c>
      <c r="CY28" s="429">
        <f>SUM(CY29:CY31)</f>
        <v>4611733.5599999996</v>
      </c>
      <c r="CZ28" s="429">
        <f>SUM(CZ29:CZ31)</f>
        <v>4954998.7699999996</v>
      </c>
      <c r="DA28" s="453">
        <f>SUM(DA29:DA31)</f>
        <v>0</v>
      </c>
    </row>
    <row r="29" spans="1:106" customFormat="1" ht="45" customHeight="1">
      <c r="A29" s="974" t="s">
        <v>196</v>
      </c>
      <c r="B29" s="975"/>
      <c r="C29" s="975"/>
      <c r="D29" s="975"/>
      <c r="E29" s="975"/>
      <c r="F29" s="975"/>
      <c r="G29" s="975"/>
      <c r="H29" s="976"/>
      <c r="I29" s="988" t="s">
        <v>515</v>
      </c>
      <c r="J29" s="989"/>
      <c r="K29" s="989"/>
      <c r="L29" s="989"/>
      <c r="M29" s="989"/>
      <c r="N29" s="989"/>
      <c r="O29" s="989"/>
      <c r="P29" s="989"/>
      <c r="Q29" s="989"/>
      <c r="R29" s="989"/>
      <c r="S29" s="989"/>
      <c r="T29" s="989"/>
      <c r="U29" s="989"/>
      <c r="V29" s="989"/>
      <c r="W29" s="989"/>
      <c r="X29" s="989"/>
      <c r="Y29" s="989"/>
      <c r="Z29" s="989"/>
      <c r="AA29" s="989"/>
      <c r="AB29" s="989"/>
      <c r="AC29" s="989"/>
      <c r="AD29" s="989"/>
      <c r="AE29" s="989"/>
      <c r="AF29" s="989"/>
      <c r="AG29" s="989"/>
      <c r="AH29" s="989"/>
      <c r="AI29" s="989"/>
      <c r="AJ29" s="989"/>
      <c r="AK29" s="989"/>
      <c r="AL29" s="989"/>
      <c r="AM29" s="989"/>
      <c r="AN29" s="989"/>
      <c r="AO29" s="989"/>
      <c r="AP29" s="989"/>
      <c r="AQ29" s="989"/>
      <c r="AR29" s="989"/>
      <c r="AS29" s="989"/>
      <c r="AT29" s="989"/>
      <c r="AU29" s="989"/>
      <c r="AV29" s="989"/>
      <c r="AW29" s="989"/>
      <c r="AX29" s="989"/>
      <c r="AY29" s="989"/>
      <c r="AZ29" s="989"/>
      <c r="BA29" s="989"/>
      <c r="BB29" s="989"/>
      <c r="BC29" s="989"/>
      <c r="BD29" s="989"/>
      <c r="BE29" s="989"/>
      <c r="BF29" s="989"/>
      <c r="BG29" s="989"/>
      <c r="BH29" s="989"/>
      <c r="BI29" s="989"/>
      <c r="BJ29" s="989"/>
      <c r="BK29" s="989"/>
      <c r="BL29" s="989"/>
      <c r="BM29" s="989"/>
      <c r="BN29" s="989"/>
      <c r="BO29" s="989"/>
      <c r="BP29" s="989"/>
      <c r="BQ29" s="989"/>
      <c r="BR29" s="989"/>
      <c r="BS29" s="989"/>
      <c r="BT29" s="989"/>
      <c r="BU29" s="989"/>
      <c r="BV29" s="989"/>
      <c r="BW29" s="989"/>
      <c r="BX29" s="989"/>
      <c r="BY29" s="989"/>
      <c r="BZ29" s="989"/>
      <c r="CA29" s="989"/>
      <c r="CB29" s="989"/>
      <c r="CC29" s="989"/>
      <c r="CD29" s="989"/>
      <c r="CE29" s="989"/>
      <c r="CF29" s="989"/>
      <c r="CG29" s="989"/>
      <c r="CH29" s="989"/>
      <c r="CI29" s="989"/>
      <c r="CJ29" s="989"/>
      <c r="CK29" s="989"/>
      <c r="CL29" s="989"/>
      <c r="CM29" s="989"/>
      <c r="CN29" s="979" t="s">
        <v>152</v>
      </c>
      <c r="CO29" s="980"/>
      <c r="CP29" s="980"/>
      <c r="CQ29" s="980"/>
      <c r="CR29" s="980"/>
      <c r="CS29" s="980"/>
      <c r="CT29" s="980"/>
      <c r="CU29" s="981"/>
      <c r="CV29" s="430" t="s">
        <v>25</v>
      </c>
      <c r="CW29" s="430" t="s">
        <v>25</v>
      </c>
      <c r="CX29" s="572">
        <v>0</v>
      </c>
      <c r="CY29" s="431">
        <v>0</v>
      </c>
      <c r="CZ29" s="431">
        <v>0</v>
      </c>
      <c r="DA29" s="454">
        <v>0</v>
      </c>
    </row>
    <row r="30" spans="1:106" s="121" customFormat="1" ht="23.25" customHeight="1">
      <c r="A30" s="974"/>
      <c r="B30" s="975"/>
      <c r="C30" s="975"/>
      <c r="D30" s="975"/>
      <c r="E30" s="975"/>
      <c r="F30" s="975"/>
      <c r="G30" s="975"/>
      <c r="H30" s="976"/>
      <c r="I30" s="988" t="s">
        <v>58</v>
      </c>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c r="AH30" s="989"/>
      <c r="AI30" s="989"/>
      <c r="AJ30" s="989"/>
      <c r="AK30" s="989"/>
      <c r="AL30" s="989"/>
      <c r="AM30" s="989"/>
      <c r="AN30" s="989"/>
      <c r="AO30" s="989"/>
      <c r="AP30" s="989"/>
      <c r="AQ30" s="989"/>
      <c r="AR30" s="989"/>
      <c r="AS30" s="989"/>
      <c r="AT30" s="989"/>
      <c r="AU30" s="989"/>
      <c r="AV30" s="989"/>
      <c r="AW30" s="989"/>
      <c r="AX30" s="989"/>
      <c r="AY30" s="989"/>
      <c r="AZ30" s="989"/>
      <c r="BA30" s="989"/>
      <c r="BB30" s="989"/>
      <c r="BC30" s="989"/>
      <c r="BD30" s="989"/>
      <c r="BE30" s="989"/>
      <c r="BF30" s="989"/>
      <c r="BG30" s="989"/>
      <c r="BH30" s="989"/>
      <c r="BI30" s="989"/>
      <c r="BJ30" s="989"/>
      <c r="BK30" s="989"/>
      <c r="BL30" s="989"/>
      <c r="BM30" s="989"/>
      <c r="BN30" s="989"/>
      <c r="BO30" s="989"/>
      <c r="BP30" s="989"/>
      <c r="BQ30" s="989"/>
      <c r="BR30" s="989"/>
      <c r="BS30" s="989"/>
      <c r="BT30" s="989"/>
      <c r="BU30" s="989"/>
      <c r="BV30" s="989"/>
      <c r="BW30" s="989"/>
      <c r="BX30" s="989"/>
      <c r="BY30" s="989"/>
      <c r="BZ30" s="989"/>
      <c r="CA30" s="989"/>
      <c r="CB30" s="989"/>
      <c r="CC30" s="989"/>
      <c r="CD30" s="989"/>
      <c r="CE30" s="989"/>
      <c r="CF30" s="989"/>
      <c r="CG30" s="989"/>
      <c r="CH30" s="989"/>
      <c r="CI30" s="989"/>
      <c r="CJ30" s="989"/>
      <c r="CK30" s="989"/>
      <c r="CL30" s="989"/>
      <c r="CM30" s="989"/>
      <c r="CN30" s="998" t="s">
        <v>197</v>
      </c>
      <c r="CO30" s="999"/>
      <c r="CP30" s="999"/>
      <c r="CQ30" s="999"/>
      <c r="CR30" s="999"/>
      <c r="CS30" s="999"/>
      <c r="CT30" s="999"/>
      <c r="CU30" s="1000"/>
      <c r="CV30" s="430"/>
      <c r="CW30" s="430"/>
      <c r="CX30" s="572">
        <v>0</v>
      </c>
      <c r="CY30" s="431">
        <v>0</v>
      </c>
      <c r="CZ30" s="431">
        <v>0</v>
      </c>
      <c r="DA30" s="454">
        <v>0</v>
      </c>
    </row>
    <row r="31" spans="1:106" customFormat="1" ht="40.5" customHeight="1">
      <c r="A31" s="974" t="s">
        <v>198</v>
      </c>
      <c r="B31" s="975"/>
      <c r="C31" s="975"/>
      <c r="D31" s="975"/>
      <c r="E31" s="975"/>
      <c r="F31" s="975"/>
      <c r="G31" s="975"/>
      <c r="H31" s="976"/>
      <c r="I31" s="988" t="s">
        <v>179</v>
      </c>
      <c r="J31" s="989"/>
      <c r="K31" s="989"/>
      <c r="L31" s="989"/>
      <c r="M31" s="989"/>
      <c r="N31" s="989"/>
      <c r="O31" s="989"/>
      <c r="P31" s="989"/>
      <c r="Q31" s="989"/>
      <c r="R31" s="989"/>
      <c r="S31" s="989"/>
      <c r="T31" s="989"/>
      <c r="U31" s="989"/>
      <c r="V31" s="989"/>
      <c r="W31" s="989"/>
      <c r="X31" s="989"/>
      <c r="Y31" s="989"/>
      <c r="Z31" s="989"/>
      <c r="AA31" s="989"/>
      <c r="AB31" s="989"/>
      <c r="AC31" s="989"/>
      <c r="AD31" s="989"/>
      <c r="AE31" s="989"/>
      <c r="AF31" s="989"/>
      <c r="AG31" s="989"/>
      <c r="AH31" s="989"/>
      <c r="AI31" s="989"/>
      <c r="AJ31" s="989"/>
      <c r="AK31" s="989"/>
      <c r="AL31" s="989"/>
      <c r="AM31" s="989"/>
      <c r="AN31" s="989"/>
      <c r="AO31" s="989"/>
      <c r="AP31" s="989"/>
      <c r="AQ31" s="989"/>
      <c r="AR31" s="989"/>
      <c r="AS31" s="989"/>
      <c r="AT31" s="989"/>
      <c r="AU31" s="989"/>
      <c r="AV31" s="989"/>
      <c r="AW31" s="989"/>
      <c r="AX31" s="989"/>
      <c r="AY31" s="989"/>
      <c r="AZ31" s="989"/>
      <c r="BA31" s="989"/>
      <c r="BB31" s="989"/>
      <c r="BC31" s="989"/>
      <c r="BD31" s="989"/>
      <c r="BE31" s="989"/>
      <c r="BF31" s="989"/>
      <c r="BG31" s="989"/>
      <c r="BH31" s="989"/>
      <c r="BI31" s="989"/>
      <c r="BJ31" s="989"/>
      <c r="BK31" s="989"/>
      <c r="BL31" s="989"/>
      <c r="BM31" s="989"/>
      <c r="BN31" s="989"/>
      <c r="BO31" s="989"/>
      <c r="BP31" s="989"/>
      <c r="BQ31" s="989"/>
      <c r="BR31" s="989"/>
      <c r="BS31" s="989"/>
      <c r="BT31" s="989"/>
      <c r="BU31" s="989"/>
      <c r="BV31" s="989"/>
      <c r="BW31" s="989"/>
      <c r="BX31" s="989"/>
      <c r="BY31" s="989"/>
      <c r="BZ31" s="989"/>
      <c r="CA31" s="989"/>
      <c r="CB31" s="989"/>
      <c r="CC31" s="989"/>
      <c r="CD31" s="989"/>
      <c r="CE31" s="989"/>
      <c r="CF31" s="989"/>
      <c r="CG31" s="989"/>
      <c r="CH31" s="989"/>
      <c r="CI31" s="989"/>
      <c r="CJ31" s="989"/>
      <c r="CK31" s="989"/>
      <c r="CL31" s="989"/>
      <c r="CM31" s="989"/>
      <c r="CN31" s="979" t="s">
        <v>153</v>
      </c>
      <c r="CO31" s="980"/>
      <c r="CP31" s="980"/>
      <c r="CQ31" s="980"/>
      <c r="CR31" s="980"/>
      <c r="CS31" s="980"/>
      <c r="CT31" s="980"/>
      <c r="CU31" s="981"/>
      <c r="CV31" s="430" t="s">
        <v>25</v>
      </c>
      <c r="CW31" s="430" t="s">
        <v>25</v>
      </c>
      <c r="CX31" s="572">
        <f>4921853.42+61695.23-40000-110000+2817+7500-10317+101267+353359.54-209152.42+623090.75-541717.95</f>
        <v>5160395.57</v>
      </c>
      <c r="CY31" s="431">
        <v>4611733.5599999996</v>
      </c>
      <c r="CZ31" s="431">
        <v>4954998.7699999996</v>
      </c>
      <c r="DA31" s="454">
        <v>0</v>
      </c>
      <c r="DB31" s="112">
        <f>CX31-'[2]ФХД_ Сведения по выплатам на з'!$CX$14</f>
        <v>326846.92</v>
      </c>
    </row>
    <row r="32" spans="1:106" customFormat="1" ht="80.25" customHeight="1">
      <c r="A32" s="982">
        <v>2</v>
      </c>
      <c r="B32" s="982"/>
      <c r="C32" s="982"/>
      <c r="D32" s="982"/>
      <c r="E32" s="982"/>
      <c r="F32" s="982"/>
      <c r="G32" s="982"/>
      <c r="H32" s="982"/>
      <c r="I32" s="983" t="s">
        <v>154</v>
      </c>
      <c r="J32" s="984"/>
      <c r="K32" s="984"/>
      <c r="L32" s="984"/>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4"/>
      <c r="AL32" s="984"/>
      <c r="AM32" s="984"/>
      <c r="AN32" s="984"/>
      <c r="AO32" s="984"/>
      <c r="AP32" s="984"/>
      <c r="AQ32" s="984"/>
      <c r="AR32" s="984"/>
      <c r="AS32" s="984"/>
      <c r="AT32" s="984"/>
      <c r="AU32" s="984"/>
      <c r="AV32" s="984"/>
      <c r="AW32" s="984"/>
      <c r="AX32" s="984"/>
      <c r="AY32" s="984"/>
      <c r="AZ32" s="984"/>
      <c r="BA32" s="984"/>
      <c r="BB32" s="984"/>
      <c r="BC32" s="984"/>
      <c r="BD32" s="984"/>
      <c r="BE32" s="984"/>
      <c r="BF32" s="984"/>
      <c r="BG32" s="984"/>
      <c r="BH32" s="984"/>
      <c r="BI32" s="984"/>
      <c r="BJ32" s="984"/>
      <c r="BK32" s="984"/>
      <c r="BL32" s="984"/>
      <c r="BM32" s="984"/>
      <c r="BN32" s="984"/>
      <c r="BO32" s="984"/>
      <c r="BP32" s="984"/>
      <c r="BQ32" s="984"/>
      <c r="BR32" s="984"/>
      <c r="BS32" s="984"/>
      <c r="BT32" s="984"/>
      <c r="BU32" s="984"/>
      <c r="BV32" s="984"/>
      <c r="BW32" s="984"/>
      <c r="BX32" s="984"/>
      <c r="BY32" s="984"/>
      <c r="BZ32" s="984"/>
      <c r="CA32" s="984"/>
      <c r="CB32" s="984"/>
      <c r="CC32" s="984"/>
      <c r="CD32" s="984"/>
      <c r="CE32" s="984"/>
      <c r="CF32" s="984"/>
      <c r="CG32" s="984"/>
      <c r="CH32" s="984"/>
      <c r="CI32" s="984"/>
      <c r="CJ32" s="984"/>
      <c r="CK32" s="984"/>
      <c r="CL32" s="984"/>
      <c r="CM32" s="984"/>
      <c r="CN32" s="985" t="s">
        <v>155</v>
      </c>
      <c r="CO32" s="986"/>
      <c r="CP32" s="986"/>
      <c r="CQ32" s="986"/>
      <c r="CR32" s="986"/>
      <c r="CS32" s="986"/>
      <c r="CT32" s="986"/>
      <c r="CU32" s="987"/>
      <c r="CV32" s="432" t="s">
        <v>156</v>
      </c>
      <c r="CW32" s="432" t="s">
        <v>25</v>
      </c>
      <c r="CX32" s="573">
        <v>0</v>
      </c>
      <c r="CY32" s="433">
        <v>0</v>
      </c>
      <c r="CZ32" s="433">
        <v>0</v>
      </c>
      <c r="DA32" s="455">
        <v>0</v>
      </c>
    </row>
    <row r="33" spans="1:105" customFormat="1" ht="33.75" customHeight="1">
      <c r="A33" s="974" t="s">
        <v>157</v>
      </c>
      <c r="B33" s="975"/>
      <c r="C33" s="975"/>
      <c r="D33" s="975"/>
      <c r="E33" s="975"/>
      <c r="F33" s="975"/>
      <c r="G33" s="975"/>
      <c r="H33" s="976"/>
      <c r="I33" s="977" t="s">
        <v>158</v>
      </c>
      <c r="J33" s="978"/>
      <c r="K33" s="978"/>
      <c r="L33" s="978"/>
      <c r="M33" s="978"/>
      <c r="N33" s="978"/>
      <c r="O33" s="978"/>
      <c r="P33" s="978"/>
      <c r="Q33" s="978"/>
      <c r="R33" s="978"/>
      <c r="S33" s="978"/>
      <c r="T33" s="978"/>
      <c r="U33" s="978"/>
      <c r="V33" s="978"/>
      <c r="W33" s="978"/>
      <c r="X33" s="978"/>
      <c r="Y33" s="978"/>
      <c r="Z33" s="978"/>
      <c r="AA33" s="978"/>
      <c r="AB33" s="978"/>
      <c r="AC33" s="978"/>
      <c r="AD33" s="978"/>
      <c r="AE33" s="978"/>
      <c r="AF33" s="978"/>
      <c r="AG33" s="978"/>
      <c r="AH33" s="978"/>
      <c r="AI33" s="978"/>
      <c r="AJ33" s="978"/>
      <c r="AK33" s="978"/>
      <c r="AL33" s="978"/>
      <c r="AM33" s="978"/>
      <c r="AN33" s="978"/>
      <c r="AO33" s="978"/>
      <c r="AP33" s="978"/>
      <c r="AQ33" s="978"/>
      <c r="AR33" s="978"/>
      <c r="AS33" s="978"/>
      <c r="AT33" s="978"/>
      <c r="AU33" s="978"/>
      <c r="AV33" s="978"/>
      <c r="AW33" s="978"/>
      <c r="AX33" s="978"/>
      <c r="AY33" s="978"/>
      <c r="AZ33" s="978"/>
      <c r="BA33" s="978"/>
      <c r="BB33" s="978"/>
      <c r="BC33" s="978"/>
      <c r="BD33" s="978"/>
      <c r="BE33" s="978"/>
      <c r="BF33" s="978"/>
      <c r="BG33" s="978"/>
      <c r="BH33" s="978"/>
      <c r="BI33" s="978"/>
      <c r="BJ33" s="978"/>
      <c r="BK33" s="978"/>
      <c r="BL33" s="978"/>
      <c r="BM33" s="978"/>
      <c r="BN33" s="978"/>
      <c r="BO33" s="978"/>
      <c r="BP33" s="978"/>
      <c r="BQ33" s="978"/>
      <c r="BR33" s="978"/>
      <c r="BS33" s="978"/>
      <c r="BT33" s="978"/>
      <c r="BU33" s="978"/>
      <c r="BV33" s="978"/>
      <c r="BW33" s="978"/>
      <c r="BX33" s="978"/>
      <c r="BY33" s="978"/>
      <c r="BZ33" s="978"/>
      <c r="CA33" s="978"/>
      <c r="CB33" s="978"/>
      <c r="CC33" s="978"/>
      <c r="CD33" s="978"/>
      <c r="CE33" s="978"/>
      <c r="CF33" s="978"/>
      <c r="CG33" s="978"/>
      <c r="CH33" s="978"/>
      <c r="CI33" s="978"/>
      <c r="CJ33" s="978"/>
      <c r="CK33" s="978"/>
      <c r="CL33" s="978"/>
      <c r="CM33" s="978"/>
      <c r="CN33" s="979" t="s">
        <v>159</v>
      </c>
      <c r="CO33" s="980"/>
      <c r="CP33" s="980"/>
      <c r="CQ33" s="980"/>
      <c r="CR33" s="980"/>
      <c r="CS33" s="980"/>
      <c r="CT33" s="980"/>
      <c r="CU33" s="981"/>
      <c r="CV33" s="430" t="s">
        <v>204</v>
      </c>
      <c r="CW33" s="430" t="s">
        <v>25</v>
      </c>
      <c r="CX33" s="572">
        <v>0</v>
      </c>
      <c r="CY33" s="431">
        <v>0</v>
      </c>
      <c r="CZ33" s="431">
        <v>0</v>
      </c>
      <c r="DA33" s="454">
        <v>0</v>
      </c>
    </row>
    <row r="34" spans="1:105" customFormat="1" ht="33.75" customHeight="1">
      <c r="A34" s="974" t="s">
        <v>160</v>
      </c>
      <c r="B34" s="975"/>
      <c r="C34" s="975"/>
      <c r="D34" s="975"/>
      <c r="E34" s="975"/>
      <c r="F34" s="975"/>
      <c r="G34" s="975"/>
      <c r="H34" s="976"/>
      <c r="I34" s="977" t="s">
        <v>158</v>
      </c>
      <c r="J34" s="978"/>
      <c r="K34" s="978"/>
      <c r="L34" s="978"/>
      <c r="M34" s="978"/>
      <c r="N34" s="978"/>
      <c r="O34" s="978"/>
      <c r="P34" s="978"/>
      <c r="Q34" s="978"/>
      <c r="R34" s="978"/>
      <c r="S34" s="978"/>
      <c r="T34" s="978"/>
      <c r="U34" s="978"/>
      <c r="V34" s="978"/>
      <c r="W34" s="978"/>
      <c r="X34" s="978"/>
      <c r="Y34" s="978"/>
      <c r="Z34" s="978"/>
      <c r="AA34" s="978"/>
      <c r="AB34" s="978"/>
      <c r="AC34" s="978"/>
      <c r="AD34" s="978"/>
      <c r="AE34" s="978"/>
      <c r="AF34" s="978"/>
      <c r="AG34" s="978"/>
      <c r="AH34" s="978"/>
      <c r="AI34" s="978"/>
      <c r="AJ34" s="978"/>
      <c r="AK34" s="978"/>
      <c r="AL34" s="978"/>
      <c r="AM34" s="978"/>
      <c r="AN34" s="978"/>
      <c r="AO34" s="978"/>
      <c r="AP34" s="978"/>
      <c r="AQ34" s="978"/>
      <c r="AR34" s="978"/>
      <c r="AS34" s="978"/>
      <c r="AT34" s="978"/>
      <c r="AU34" s="978"/>
      <c r="AV34" s="978"/>
      <c r="AW34" s="978"/>
      <c r="AX34" s="978"/>
      <c r="AY34" s="978"/>
      <c r="AZ34" s="978"/>
      <c r="BA34" s="978"/>
      <c r="BB34" s="978"/>
      <c r="BC34" s="978"/>
      <c r="BD34" s="978"/>
      <c r="BE34" s="978"/>
      <c r="BF34" s="978"/>
      <c r="BG34" s="978"/>
      <c r="BH34" s="978"/>
      <c r="BI34" s="978"/>
      <c r="BJ34" s="978"/>
      <c r="BK34" s="978"/>
      <c r="BL34" s="978"/>
      <c r="BM34" s="978"/>
      <c r="BN34" s="978"/>
      <c r="BO34" s="978"/>
      <c r="BP34" s="978"/>
      <c r="BQ34" s="978"/>
      <c r="BR34" s="978"/>
      <c r="BS34" s="978"/>
      <c r="BT34" s="978"/>
      <c r="BU34" s="978"/>
      <c r="BV34" s="978"/>
      <c r="BW34" s="978"/>
      <c r="BX34" s="978"/>
      <c r="BY34" s="978"/>
      <c r="BZ34" s="978"/>
      <c r="CA34" s="978"/>
      <c r="CB34" s="978"/>
      <c r="CC34" s="978"/>
      <c r="CD34" s="978"/>
      <c r="CE34" s="978"/>
      <c r="CF34" s="978"/>
      <c r="CG34" s="978"/>
      <c r="CH34" s="978"/>
      <c r="CI34" s="978"/>
      <c r="CJ34" s="978"/>
      <c r="CK34" s="978"/>
      <c r="CL34" s="978"/>
      <c r="CM34" s="978"/>
      <c r="CN34" s="979" t="s">
        <v>159</v>
      </c>
      <c r="CO34" s="980"/>
      <c r="CP34" s="980"/>
      <c r="CQ34" s="980"/>
      <c r="CR34" s="980"/>
      <c r="CS34" s="980"/>
      <c r="CT34" s="980"/>
      <c r="CU34" s="981"/>
      <c r="CV34" s="430" t="s">
        <v>613</v>
      </c>
      <c r="CW34" s="430" t="s">
        <v>25</v>
      </c>
      <c r="CX34" s="572">
        <v>0</v>
      </c>
      <c r="CY34" s="431">
        <v>0</v>
      </c>
      <c r="CZ34" s="431">
        <v>0</v>
      </c>
      <c r="DA34" s="454">
        <v>0</v>
      </c>
    </row>
    <row r="35" spans="1:105" customFormat="1" ht="33.75" customHeight="1">
      <c r="A35" s="974" t="s">
        <v>161</v>
      </c>
      <c r="B35" s="975"/>
      <c r="C35" s="975"/>
      <c r="D35" s="975"/>
      <c r="E35" s="975"/>
      <c r="F35" s="975"/>
      <c r="G35" s="975"/>
      <c r="H35" s="976"/>
      <c r="I35" s="977" t="s">
        <v>158</v>
      </c>
      <c r="J35" s="978"/>
      <c r="K35" s="978"/>
      <c r="L35" s="978"/>
      <c r="M35" s="978"/>
      <c r="N35" s="978"/>
      <c r="O35" s="978"/>
      <c r="P35" s="978"/>
      <c r="Q35" s="978"/>
      <c r="R35" s="978"/>
      <c r="S35" s="978"/>
      <c r="T35" s="978"/>
      <c r="U35" s="978"/>
      <c r="V35" s="978"/>
      <c r="W35" s="978"/>
      <c r="X35" s="978"/>
      <c r="Y35" s="978"/>
      <c r="Z35" s="978"/>
      <c r="AA35" s="978"/>
      <c r="AB35" s="978"/>
      <c r="AC35" s="978"/>
      <c r="AD35" s="978"/>
      <c r="AE35" s="978"/>
      <c r="AF35" s="978"/>
      <c r="AG35" s="978"/>
      <c r="AH35" s="978"/>
      <c r="AI35" s="978"/>
      <c r="AJ35" s="978"/>
      <c r="AK35" s="978"/>
      <c r="AL35" s="978"/>
      <c r="AM35" s="978"/>
      <c r="AN35" s="978"/>
      <c r="AO35" s="978"/>
      <c r="AP35" s="978"/>
      <c r="AQ35" s="978"/>
      <c r="AR35" s="978"/>
      <c r="AS35" s="978"/>
      <c r="AT35" s="978"/>
      <c r="AU35" s="978"/>
      <c r="AV35" s="978"/>
      <c r="AW35" s="978"/>
      <c r="AX35" s="978"/>
      <c r="AY35" s="978"/>
      <c r="AZ35" s="978"/>
      <c r="BA35" s="978"/>
      <c r="BB35" s="978"/>
      <c r="BC35" s="978"/>
      <c r="BD35" s="978"/>
      <c r="BE35" s="978"/>
      <c r="BF35" s="978"/>
      <c r="BG35" s="978"/>
      <c r="BH35" s="978"/>
      <c r="BI35" s="978"/>
      <c r="BJ35" s="978"/>
      <c r="BK35" s="978"/>
      <c r="BL35" s="978"/>
      <c r="BM35" s="978"/>
      <c r="BN35" s="978"/>
      <c r="BO35" s="978"/>
      <c r="BP35" s="978"/>
      <c r="BQ35" s="978"/>
      <c r="BR35" s="978"/>
      <c r="BS35" s="978"/>
      <c r="BT35" s="978"/>
      <c r="BU35" s="978"/>
      <c r="BV35" s="978"/>
      <c r="BW35" s="978"/>
      <c r="BX35" s="978"/>
      <c r="BY35" s="978"/>
      <c r="BZ35" s="978"/>
      <c r="CA35" s="978"/>
      <c r="CB35" s="978"/>
      <c r="CC35" s="978"/>
      <c r="CD35" s="978"/>
      <c r="CE35" s="978"/>
      <c r="CF35" s="978"/>
      <c r="CG35" s="978"/>
      <c r="CH35" s="978"/>
      <c r="CI35" s="978"/>
      <c r="CJ35" s="978"/>
      <c r="CK35" s="978"/>
      <c r="CL35" s="978"/>
      <c r="CM35" s="978"/>
      <c r="CN35" s="979" t="s">
        <v>159</v>
      </c>
      <c r="CO35" s="980"/>
      <c r="CP35" s="980"/>
      <c r="CQ35" s="980"/>
      <c r="CR35" s="980"/>
      <c r="CS35" s="980"/>
      <c r="CT35" s="980"/>
      <c r="CU35" s="981"/>
      <c r="CV35" s="430" t="s">
        <v>947</v>
      </c>
      <c r="CW35" s="430" t="s">
        <v>25</v>
      </c>
      <c r="CX35" s="572">
        <v>0</v>
      </c>
      <c r="CY35" s="431">
        <v>0</v>
      </c>
      <c r="CZ35" s="431">
        <v>0</v>
      </c>
      <c r="DA35" s="454">
        <v>0</v>
      </c>
    </row>
    <row r="36" spans="1:105" ht="90" customHeight="1">
      <c r="A36" s="982">
        <v>3</v>
      </c>
      <c r="B36" s="982"/>
      <c r="C36" s="982"/>
      <c r="D36" s="982"/>
      <c r="E36" s="982"/>
      <c r="F36" s="982"/>
      <c r="G36" s="982"/>
      <c r="H36" s="982"/>
      <c r="I36" s="983" t="s">
        <v>162</v>
      </c>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984"/>
      <c r="AI36" s="984"/>
      <c r="AJ36" s="984"/>
      <c r="AK36" s="984"/>
      <c r="AL36" s="984"/>
      <c r="AM36" s="984"/>
      <c r="AN36" s="984"/>
      <c r="AO36" s="984"/>
      <c r="AP36" s="984"/>
      <c r="AQ36" s="984"/>
      <c r="AR36" s="984"/>
      <c r="AS36" s="984"/>
      <c r="AT36" s="984"/>
      <c r="AU36" s="984"/>
      <c r="AV36" s="984"/>
      <c r="AW36" s="984"/>
      <c r="AX36" s="984"/>
      <c r="AY36" s="984"/>
      <c r="AZ36" s="984"/>
      <c r="BA36" s="984"/>
      <c r="BB36" s="984"/>
      <c r="BC36" s="984"/>
      <c r="BD36" s="984"/>
      <c r="BE36" s="984"/>
      <c r="BF36" s="984"/>
      <c r="BG36" s="984"/>
      <c r="BH36" s="984"/>
      <c r="BI36" s="984"/>
      <c r="BJ36" s="984"/>
      <c r="BK36" s="984"/>
      <c r="BL36" s="984"/>
      <c r="BM36" s="984"/>
      <c r="BN36" s="984"/>
      <c r="BO36" s="984"/>
      <c r="BP36" s="984"/>
      <c r="BQ36" s="984"/>
      <c r="BR36" s="984"/>
      <c r="BS36" s="984"/>
      <c r="BT36" s="984"/>
      <c r="BU36" s="984"/>
      <c r="BV36" s="984"/>
      <c r="BW36" s="984"/>
      <c r="BX36" s="984"/>
      <c r="BY36" s="984"/>
      <c r="BZ36" s="984"/>
      <c r="CA36" s="984"/>
      <c r="CB36" s="984"/>
      <c r="CC36" s="984"/>
      <c r="CD36" s="984"/>
      <c r="CE36" s="984"/>
      <c r="CF36" s="984"/>
      <c r="CG36" s="984"/>
      <c r="CH36" s="984"/>
      <c r="CI36" s="984"/>
      <c r="CJ36" s="984"/>
      <c r="CK36" s="984"/>
      <c r="CL36" s="984"/>
      <c r="CM36" s="984"/>
      <c r="CN36" s="985" t="s">
        <v>163</v>
      </c>
      <c r="CO36" s="986"/>
      <c r="CP36" s="986"/>
      <c r="CQ36" s="986"/>
      <c r="CR36" s="986"/>
      <c r="CS36" s="986"/>
      <c r="CT36" s="986"/>
      <c r="CU36" s="987"/>
      <c r="CV36" s="432" t="s">
        <v>156</v>
      </c>
      <c r="CW36" s="432" t="s">
        <v>25</v>
      </c>
      <c r="CX36" s="573">
        <f>CX37</f>
        <v>24773028.460000001</v>
      </c>
      <c r="CY36" s="433">
        <f>CY38</f>
        <v>16401748.98</v>
      </c>
      <c r="CZ36" s="433">
        <f>CZ39</f>
        <v>16650458</v>
      </c>
      <c r="DA36" s="455">
        <v>0</v>
      </c>
    </row>
    <row r="37" spans="1:105" ht="30.75" customHeight="1">
      <c r="A37" s="968" t="s">
        <v>164</v>
      </c>
      <c r="B37" s="968"/>
      <c r="C37" s="968"/>
      <c r="D37" s="968"/>
      <c r="E37" s="968"/>
      <c r="F37" s="968"/>
      <c r="G37" s="968"/>
      <c r="H37" s="968"/>
      <c r="I37" s="969" t="s">
        <v>158</v>
      </c>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70"/>
      <c r="AH37" s="970"/>
      <c r="AI37" s="970"/>
      <c r="AJ37" s="970"/>
      <c r="AK37" s="970"/>
      <c r="AL37" s="970"/>
      <c r="AM37" s="970"/>
      <c r="AN37" s="970"/>
      <c r="AO37" s="970"/>
      <c r="AP37" s="970"/>
      <c r="AQ37" s="970"/>
      <c r="AR37" s="970"/>
      <c r="AS37" s="970"/>
      <c r="AT37" s="970"/>
      <c r="AU37" s="970"/>
      <c r="AV37" s="970"/>
      <c r="AW37" s="970"/>
      <c r="AX37" s="970"/>
      <c r="AY37" s="970"/>
      <c r="AZ37" s="970"/>
      <c r="BA37" s="970"/>
      <c r="BB37" s="970"/>
      <c r="BC37" s="970"/>
      <c r="BD37" s="970"/>
      <c r="BE37" s="970"/>
      <c r="BF37" s="970"/>
      <c r="BG37" s="970"/>
      <c r="BH37" s="970"/>
      <c r="BI37" s="970"/>
      <c r="BJ37" s="970"/>
      <c r="BK37" s="970"/>
      <c r="BL37" s="970"/>
      <c r="BM37" s="970"/>
      <c r="BN37" s="970"/>
      <c r="BO37" s="970"/>
      <c r="BP37" s="970"/>
      <c r="BQ37" s="970"/>
      <c r="BR37" s="970"/>
      <c r="BS37" s="970"/>
      <c r="BT37" s="970"/>
      <c r="BU37" s="970"/>
      <c r="BV37" s="970"/>
      <c r="BW37" s="970"/>
      <c r="BX37" s="970"/>
      <c r="BY37" s="970"/>
      <c r="BZ37" s="970"/>
      <c r="CA37" s="970"/>
      <c r="CB37" s="970"/>
      <c r="CC37" s="970"/>
      <c r="CD37" s="970"/>
      <c r="CE37" s="970"/>
      <c r="CF37" s="970"/>
      <c r="CG37" s="970"/>
      <c r="CH37" s="970"/>
      <c r="CI37" s="970"/>
      <c r="CJ37" s="970"/>
      <c r="CK37" s="970"/>
      <c r="CL37" s="970"/>
      <c r="CM37" s="970"/>
      <c r="CN37" s="971" t="s">
        <v>165</v>
      </c>
      <c r="CO37" s="972"/>
      <c r="CP37" s="972"/>
      <c r="CQ37" s="972"/>
      <c r="CR37" s="972"/>
      <c r="CS37" s="972"/>
      <c r="CT37" s="972"/>
      <c r="CU37" s="973"/>
      <c r="CV37" s="434" t="s">
        <v>204</v>
      </c>
      <c r="CW37" s="434" t="s">
        <v>25</v>
      </c>
      <c r="CX37" s="574">
        <f>CX15</f>
        <v>24773028.460000001</v>
      </c>
      <c r="CY37" s="435">
        <v>0</v>
      </c>
      <c r="CZ37" s="435">
        <v>0</v>
      </c>
      <c r="DA37" s="456">
        <v>0</v>
      </c>
    </row>
    <row r="38" spans="1:105" ht="30.75" customHeight="1">
      <c r="A38" s="968" t="s">
        <v>166</v>
      </c>
      <c r="B38" s="968"/>
      <c r="C38" s="968"/>
      <c r="D38" s="968"/>
      <c r="E38" s="968"/>
      <c r="F38" s="968"/>
      <c r="G38" s="968"/>
      <c r="H38" s="968"/>
      <c r="I38" s="969" t="s">
        <v>158</v>
      </c>
      <c r="J38" s="970"/>
      <c r="K38" s="970"/>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0"/>
      <c r="AY38" s="970"/>
      <c r="AZ38" s="970"/>
      <c r="BA38" s="970"/>
      <c r="BB38" s="970"/>
      <c r="BC38" s="970"/>
      <c r="BD38" s="970"/>
      <c r="BE38" s="970"/>
      <c r="BF38" s="970"/>
      <c r="BG38" s="970"/>
      <c r="BH38" s="970"/>
      <c r="BI38" s="970"/>
      <c r="BJ38" s="970"/>
      <c r="BK38" s="970"/>
      <c r="BL38" s="970"/>
      <c r="BM38" s="970"/>
      <c r="BN38" s="970"/>
      <c r="BO38" s="970"/>
      <c r="BP38" s="970"/>
      <c r="BQ38" s="970"/>
      <c r="BR38" s="970"/>
      <c r="BS38" s="970"/>
      <c r="BT38" s="970"/>
      <c r="BU38" s="970"/>
      <c r="BV38" s="970"/>
      <c r="BW38" s="970"/>
      <c r="BX38" s="970"/>
      <c r="BY38" s="970"/>
      <c r="BZ38" s="970"/>
      <c r="CA38" s="970"/>
      <c r="CB38" s="970"/>
      <c r="CC38" s="970"/>
      <c r="CD38" s="970"/>
      <c r="CE38" s="970"/>
      <c r="CF38" s="970"/>
      <c r="CG38" s="970"/>
      <c r="CH38" s="970"/>
      <c r="CI38" s="970"/>
      <c r="CJ38" s="970"/>
      <c r="CK38" s="970"/>
      <c r="CL38" s="970"/>
      <c r="CM38" s="970"/>
      <c r="CN38" s="971" t="s">
        <v>165</v>
      </c>
      <c r="CO38" s="972"/>
      <c r="CP38" s="972"/>
      <c r="CQ38" s="972"/>
      <c r="CR38" s="972"/>
      <c r="CS38" s="972"/>
      <c r="CT38" s="972"/>
      <c r="CU38" s="973"/>
      <c r="CV38" s="434" t="s">
        <v>613</v>
      </c>
      <c r="CW38" s="434" t="s">
        <v>25</v>
      </c>
      <c r="CX38" s="574">
        <v>0</v>
      </c>
      <c r="CY38" s="435">
        <f>CY15</f>
        <v>16401748.98</v>
      </c>
      <c r="CZ38" s="435">
        <v>0</v>
      </c>
      <c r="DA38" s="456">
        <v>0</v>
      </c>
    </row>
    <row r="39" spans="1:105" ht="30.75" customHeight="1">
      <c r="A39" s="968" t="s">
        <v>167</v>
      </c>
      <c r="B39" s="968"/>
      <c r="C39" s="968"/>
      <c r="D39" s="968"/>
      <c r="E39" s="968"/>
      <c r="F39" s="968"/>
      <c r="G39" s="968"/>
      <c r="H39" s="968"/>
      <c r="I39" s="969" t="s">
        <v>158</v>
      </c>
      <c r="J39" s="970"/>
      <c r="K39" s="970"/>
      <c r="L39" s="970"/>
      <c r="M39" s="970"/>
      <c r="N39" s="970"/>
      <c r="O39" s="970"/>
      <c r="P39" s="970"/>
      <c r="Q39" s="970"/>
      <c r="R39" s="970"/>
      <c r="S39" s="970"/>
      <c r="T39" s="970"/>
      <c r="U39" s="970"/>
      <c r="V39" s="970"/>
      <c r="W39" s="970"/>
      <c r="X39" s="970"/>
      <c r="Y39" s="970"/>
      <c r="Z39" s="970"/>
      <c r="AA39" s="970"/>
      <c r="AB39" s="970"/>
      <c r="AC39" s="970"/>
      <c r="AD39" s="970"/>
      <c r="AE39" s="970"/>
      <c r="AF39" s="970"/>
      <c r="AG39" s="970"/>
      <c r="AH39" s="970"/>
      <c r="AI39" s="970"/>
      <c r="AJ39" s="970"/>
      <c r="AK39" s="970"/>
      <c r="AL39" s="970"/>
      <c r="AM39" s="970"/>
      <c r="AN39" s="970"/>
      <c r="AO39" s="970"/>
      <c r="AP39" s="970"/>
      <c r="AQ39" s="970"/>
      <c r="AR39" s="970"/>
      <c r="AS39" s="970"/>
      <c r="AT39" s="970"/>
      <c r="AU39" s="970"/>
      <c r="AV39" s="970"/>
      <c r="AW39" s="970"/>
      <c r="AX39" s="970"/>
      <c r="AY39" s="970"/>
      <c r="AZ39" s="970"/>
      <c r="BA39" s="970"/>
      <c r="BB39" s="970"/>
      <c r="BC39" s="970"/>
      <c r="BD39" s="970"/>
      <c r="BE39" s="970"/>
      <c r="BF39" s="970"/>
      <c r="BG39" s="970"/>
      <c r="BH39" s="970"/>
      <c r="BI39" s="970"/>
      <c r="BJ39" s="970"/>
      <c r="BK39" s="970"/>
      <c r="BL39" s="970"/>
      <c r="BM39" s="970"/>
      <c r="BN39" s="970"/>
      <c r="BO39" s="970"/>
      <c r="BP39" s="970"/>
      <c r="BQ39" s="970"/>
      <c r="BR39" s="970"/>
      <c r="BS39" s="970"/>
      <c r="BT39" s="970"/>
      <c r="BU39" s="970"/>
      <c r="BV39" s="970"/>
      <c r="BW39" s="970"/>
      <c r="BX39" s="970"/>
      <c r="BY39" s="970"/>
      <c r="BZ39" s="970"/>
      <c r="CA39" s="970"/>
      <c r="CB39" s="970"/>
      <c r="CC39" s="970"/>
      <c r="CD39" s="970"/>
      <c r="CE39" s="970"/>
      <c r="CF39" s="970"/>
      <c r="CG39" s="970"/>
      <c r="CH39" s="970"/>
      <c r="CI39" s="970"/>
      <c r="CJ39" s="970"/>
      <c r="CK39" s="970"/>
      <c r="CL39" s="970"/>
      <c r="CM39" s="970"/>
      <c r="CN39" s="971" t="s">
        <v>165</v>
      </c>
      <c r="CO39" s="972"/>
      <c r="CP39" s="972"/>
      <c r="CQ39" s="972"/>
      <c r="CR39" s="972"/>
      <c r="CS39" s="972"/>
      <c r="CT39" s="972"/>
      <c r="CU39" s="973"/>
      <c r="CV39" s="434" t="s">
        <v>947</v>
      </c>
      <c r="CW39" s="434" t="s">
        <v>25</v>
      </c>
      <c r="CX39" s="574">
        <v>0</v>
      </c>
      <c r="CY39" s="435">
        <v>0</v>
      </c>
      <c r="CZ39" s="435">
        <f>CZ15</f>
        <v>16650458</v>
      </c>
      <c r="DA39" s="456">
        <v>0</v>
      </c>
    </row>
    <row r="40" spans="1:105" ht="39.75" hidden="1" customHeight="1">
      <c r="A40" s="408"/>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c r="BW40" s="408"/>
      <c r="BX40" s="408"/>
      <c r="BY40" s="408"/>
      <c r="BZ40" s="408"/>
      <c r="CA40" s="408"/>
      <c r="CB40" s="408"/>
      <c r="CC40" s="408"/>
      <c r="CD40" s="408"/>
      <c r="CE40" s="408"/>
      <c r="CF40" s="408"/>
      <c r="CG40" s="408"/>
      <c r="CH40" s="408"/>
      <c r="CI40" s="408"/>
      <c r="CJ40" s="408"/>
      <c r="CK40" s="408"/>
      <c r="CL40" s="408"/>
      <c r="CM40" s="408"/>
      <c r="CN40" s="408"/>
      <c r="CO40" s="408"/>
      <c r="CP40" s="408"/>
      <c r="CQ40" s="408"/>
      <c r="CR40" s="408"/>
      <c r="CS40" s="408"/>
      <c r="CT40" s="408"/>
      <c r="CU40" s="408"/>
      <c r="CV40" s="408"/>
      <c r="CW40" s="408"/>
      <c r="CX40" s="575"/>
      <c r="CY40" s="408"/>
      <c r="CZ40" s="408"/>
      <c r="DA40" s="408"/>
    </row>
    <row r="41" spans="1:105" s="184" customFormat="1" ht="15.75" hidden="1">
      <c r="D41" s="247"/>
      <c r="E41" s="248"/>
      <c r="F41" s="248"/>
      <c r="G41" s="248"/>
      <c r="H41" s="248"/>
      <c r="I41" s="249"/>
      <c r="J41" s="248"/>
      <c r="K41" s="248"/>
      <c r="L41" s="248"/>
      <c r="M41" s="248"/>
      <c r="N41" s="248"/>
      <c r="O41" s="248"/>
      <c r="CX41" s="575"/>
    </row>
    <row r="42" spans="1:105" s="184" customFormat="1" ht="15.75" hidden="1">
      <c r="D42" s="226"/>
      <c r="I42" s="409"/>
      <c r="AQ42" s="964"/>
      <c r="AR42" s="964"/>
      <c r="AS42" s="964"/>
      <c r="AT42" s="964"/>
      <c r="AU42" s="964"/>
      <c r="AV42" s="964"/>
      <c r="AW42" s="964"/>
      <c r="AX42" s="964"/>
      <c r="AY42" s="964"/>
      <c r="AZ42" s="964"/>
      <c r="BA42" s="964"/>
      <c r="BB42" s="964"/>
      <c r="BC42" s="964"/>
      <c r="BD42" s="964"/>
      <c r="BE42" s="964"/>
      <c r="BF42" s="964"/>
      <c r="BG42" s="964"/>
      <c r="BH42" s="964"/>
      <c r="BK42" s="964"/>
      <c r="BL42" s="964"/>
      <c r="BM42" s="964"/>
      <c r="BN42" s="964"/>
      <c r="BO42" s="964"/>
      <c r="BP42" s="964"/>
      <c r="BQ42" s="964"/>
      <c r="BR42" s="964"/>
      <c r="BS42" s="964"/>
      <c r="BT42" s="964"/>
      <c r="BU42" s="964"/>
      <c r="BV42" s="964"/>
      <c r="BY42" s="964"/>
      <c r="BZ42" s="964"/>
      <c r="CA42" s="964"/>
      <c r="CB42" s="964"/>
      <c r="CC42" s="964"/>
      <c r="CD42" s="964"/>
      <c r="CE42" s="964"/>
      <c r="CF42" s="964"/>
      <c r="CG42" s="964"/>
      <c r="CH42" s="964"/>
      <c r="CI42" s="964"/>
      <c r="CJ42" s="964"/>
      <c r="CK42" s="964"/>
      <c r="CL42" s="964"/>
      <c r="CM42" s="964"/>
      <c r="CN42" s="964"/>
      <c r="CO42" s="964"/>
      <c r="CP42" s="964"/>
      <c r="CQ42" s="964"/>
      <c r="CR42" s="964"/>
      <c r="CX42" s="575"/>
    </row>
    <row r="43" spans="1:105" s="251" customFormat="1" ht="19.5" hidden="1" customHeight="1">
      <c r="A43" s="248"/>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965"/>
      <c r="AR43" s="965"/>
      <c r="AS43" s="965"/>
      <c r="AT43" s="965"/>
      <c r="AU43" s="965"/>
      <c r="AV43" s="965"/>
      <c r="AW43" s="965"/>
      <c r="AX43" s="965"/>
      <c r="AY43" s="965"/>
      <c r="AZ43" s="965"/>
      <c r="BA43" s="965"/>
      <c r="BB43" s="965"/>
      <c r="BC43" s="965"/>
      <c r="BD43" s="965"/>
      <c r="BE43" s="965"/>
      <c r="BF43" s="965"/>
      <c r="BG43" s="965"/>
      <c r="BH43" s="965"/>
      <c r="BI43" s="248"/>
      <c r="BJ43" s="248"/>
      <c r="BK43" s="965"/>
      <c r="BL43" s="965"/>
      <c r="BM43" s="965"/>
      <c r="BN43" s="965"/>
      <c r="BO43" s="965"/>
      <c r="BP43" s="965"/>
      <c r="BQ43" s="965"/>
      <c r="BR43" s="965"/>
      <c r="BS43" s="965"/>
      <c r="BT43" s="965"/>
      <c r="BU43" s="965"/>
      <c r="BV43" s="965"/>
      <c r="BW43" s="248"/>
      <c r="BX43" s="248"/>
      <c r="BY43" s="965"/>
      <c r="BZ43" s="965"/>
      <c r="CA43" s="965"/>
      <c r="CB43" s="965"/>
      <c r="CC43" s="965"/>
      <c r="CD43" s="965"/>
      <c r="CE43" s="965"/>
      <c r="CF43" s="965"/>
      <c r="CG43" s="965"/>
      <c r="CH43" s="965"/>
      <c r="CI43" s="965"/>
      <c r="CJ43" s="965"/>
      <c r="CK43" s="965"/>
      <c r="CL43" s="965"/>
      <c r="CM43" s="965"/>
      <c r="CN43" s="965"/>
      <c r="CO43" s="965"/>
      <c r="CP43" s="965"/>
      <c r="CQ43" s="965"/>
      <c r="CR43" s="965"/>
      <c r="CS43" s="248"/>
      <c r="CT43" s="248"/>
      <c r="CU43" s="248"/>
      <c r="CV43" s="248"/>
      <c r="CW43" s="248"/>
      <c r="CX43" s="576"/>
      <c r="CY43" s="248"/>
      <c r="CZ43" s="248"/>
      <c r="DA43" s="248"/>
    </row>
    <row r="44" spans="1:105" s="252" customFormat="1" ht="3" customHeight="1">
      <c r="A44" s="410"/>
      <c r="B44" s="410"/>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1"/>
      <c r="AR44" s="411"/>
      <c r="AS44" s="411"/>
      <c r="AT44" s="411"/>
      <c r="AU44" s="411"/>
      <c r="AV44" s="411"/>
      <c r="AW44" s="411"/>
      <c r="AX44" s="411"/>
      <c r="AY44" s="411"/>
      <c r="AZ44" s="411"/>
      <c r="BA44" s="411"/>
      <c r="BB44" s="411"/>
      <c r="BC44" s="411"/>
      <c r="BD44" s="411"/>
      <c r="BE44" s="411"/>
      <c r="BF44" s="411"/>
      <c r="BG44" s="411"/>
      <c r="BH44" s="411"/>
      <c r="BI44" s="410"/>
      <c r="BJ44" s="410"/>
      <c r="BK44" s="411"/>
      <c r="BL44" s="411"/>
      <c r="BM44" s="411"/>
      <c r="BN44" s="411"/>
      <c r="BO44" s="411"/>
      <c r="BP44" s="411"/>
      <c r="BQ44" s="411"/>
      <c r="BR44" s="411"/>
      <c r="BS44" s="411"/>
      <c r="BT44" s="411"/>
      <c r="BU44" s="411"/>
      <c r="BV44" s="411"/>
      <c r="BW44" s="410"/>
      <c r="BX44" s="410"/>
      <c r="BY44" s="411"/>
      <c r="BZ44" s="411"/>
      <c r="CA44" s="411"/>
      <c r="CB44" s="411"/>
      <c r="CC44" s="411"/>
      <c r="CD44" s="411"/>
      <c r="CE44" s="411"/>
      <c r="CF44" s="411"/>
      <c r="CG44" s="411"/>
      <c r="CH44" s="411"/>
      <c r="CI44" s="411"/>
      <c r="CJ44" s="411"/>
      <c r="CK44" s="411"/>
      <c r="CL44" s="411"/>
      <c r="CM44" s="411"/>
      <c r="CN44" s="411"/>
      <c r="CO44" s="411"/>
      <c r="CP44" s="411"/>
      <c r="CQ44" s="411"/>
      <c r="CR44" s="411"/>
      <c r="CS44" s="410"/>
      <c r="CT44" s="410"/>
      <c r="CU44" s="410"/>
      <c r="CV44" s="410"/>
      <c r="CW44" s="410"/>
      <c r="CX44" s="576"/>
      <c r="CY44" s="410"/>
      <c r="CZ44" s="410"/>
      <c r="DA44" s="410"/>
    </row>
    <row r="45" spans="1:105" ht="54.75" customHeight="1">
      <c r="A45" s="408"/>
      <c r="B45" s="408"/>
      <c r="C45" s="408"/>
      <c r="D45" s="226"/>
      <c r="E45" s="408"/>
      <c r="F45" s="412" t="s">
        <v>168</v>
      </c>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966" t="s">
        <v>954</v>
      </c>
      <c r="AN45" s="961"/>
      <c r="AO45" s="961"/>
      <c r="AP45" s="961"/>
      <c r="AQ45" s="961"/>
      <c r="AR45" s="961"/>
      <c r="AS45" s="961"/>
      <c r="AT45" s="961"/>
      <c r="AU45" s="961"/>
      <c r="AV45" s="961"/>
      <c r="AW45" s="961"/>
      <c r="AX45" s="961"/>
      <c r="AY45" s="961"/>
      <c r="AZ45" s="961"/>
      <c r="BA45" s="961"/>
      <c r="BB45" s="961"/>
      <c r="BC45" s="961"/>
      <c r="BD45" s="961"/>
      <c r="BE45" s="408"/>
      <c r="BF45" s="408"/>
      <c r="BG45" s="961" t="s">
        <v>955</v>
      </c>
      <c r="BH45" s="961"/>
      <c r="BI45" s="961"/>
      <c r="BJ45" s="961"/>
      <c r="BK45" s="961"/>
      <c r="BL45" s="961"/>
      <c r="BM45" s="961"/>
      <c r="BN45" s="961"/>
      <c r="BO45" s="961"/>
      <c r="BP45" s="961"/>
      <c r="BQ45" s="961"/>
      <c r="BR45" s="961"/>
      <c r="BS45" s="961"/>
      <c r="BT45" s="961"/>
      <c r="BU45" s="961"/>
      <c r="BV45" s="961"/>
      <c r="BW45" s="961"/>
      <c r="BX45" s="961"/>
      <c r="BY45" s="408"/>
      <c r="BZ45" s="408"/>
      <c r="CA45" s="967" t="s">
        <v>205</v>
      </c>
      <c r="CB45" s="967"/>
      <c r="CC45" s="967"/>
      <c r="CD45" s="967"/>
      <c r="CE45" s="967"/>
      <c r="CF45" s="967"/>
      <c r="CG45" s="967"/>
      <c r="CH45" s="967"/>
      <c r="CI45" s="967"/>
      <c r="CJ45" s="967"/>
      <c r="CK45" s="967"/>
      <c r="CL45" s="967"/>
      <c r="CM45" s="967"/>
      <c r="CN45" s="967"/>
      <c r="CO45" s="967"/>
      <c r="CP45" s="967"/>
      <c r="CQ45" s="967"/>
      <c r="CR45" s="967"/>
      <c r="CS45" s="408"/>
      <c r="CT45" s="408"/>
      <c r="CU45" s="408"/>
      <c r="CV45" s="408"/>
      <c r="CW45" s="408"/>
      <c r="CX45" s="575"/>
      <c r="CY45" s="408"/>
      <c r="CZ45" s="408"/>
      <c r="DA45" s="408"/>
    </row>
    <row r="46" spans="1:105" ht="21.75" customHeight="1">
      <c r="A46" s="408"/>
      <c r="B46" s="408"/>
      <c r="C46" s="408"/>
      <c r="D46" s="226"/>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942" t="s">
        <v>169</v>
      </c>
      <c r="AN46" s="942"/>
      <c r="AO46" s="942"/>
      <c r="AP46" s="942"/>
      <c r="AQ46" s="942"/>
      <c r="AR46" s="942"/>
      <c r="AS46" s="942"/>
      <c r="AT46" s="942"/>
      <c r="AU46" s="942"/>
      <c r="AV46" s="942"/>
      <c r="AW46" s="942"/>
      <c r="AX46" s="942"/>
      <c r="AY46" s="942"/>
      <c r="AZ46" s="942"/>
      <c r="BA46" s="942"/>
      <c r="BB46" s="942"/>
      <c r="BC46" s="942"/>
      <c r="BD46" s="942"/>
      <c r="BE46" s="408"/>
      <c r="BF46" s="408"/>
      <c r="BG46" s="942" t="s">
        <v>170</v>
      </c>
      <c r="BH46" s="942"/>
      <c r="BI46" s="942"/>
      <c r="BJ46" s="942"/>
      <c r="BK46" s="942"/>
      <c r="BL46" s="942"/>
      <c r="BM46" s="942"/>
      <c r="BN46" s="942"/>
      <c r="BO46" s="942"/>
      <c r="BP46" s="942"/>
      <c r="BQ46" s="942"/>
      <c r="BR46" s="942"/>
      <c r="BS46" s="942"/>
      <c r="BT46" s="942"/>
      <c r="BU46" s="942"/>
      <c r="BV46" s="942"/>
      <c r="BW46" s="942"/>
      <c r="BX46" s="942"/>
      <c r="BY46" s="408"/>
      <c r="BZ46" s="408"/>
      <c r="CA46" s="942" t="s">
        <v>171</v>
      </c>
      <c r="CB46" s="942"/>
      <c r="CC46" s="942"/>
      <c r="CD46" s="942"/>
      <c r="CE46" s="942"/>
      <c r="CF46" s="942"/>
      <c r="CG46" s="942"/>
      <c r="CH46" s="942"/>
      <c r="CI46" s="942"/>
      <c r="CJ46" s="942"/>
      <c r="CK46" s="942"/>
      <c r="CL46" s="942"/>
      <c r="CM46" s="942"/>
      <c r="CN46" s="942"/>
      <c r="CO46" s="942"/>
      <c r="CP46" s="942"/>
      <c r="CQ46" s="942"/>
      <c r="CR46" s="942"/>
      <c r="CS46" s="408"/>
      <c r="CT46" s="408"/>
      <c r="CU46" s="408"/>
      <c r="CV46" s="408"/>
      <c r="CW46" s="408"/>
      <c r="CX46" s="575"/>
      <c r="CY46" s="408"/>
      <c r="CZ46" s="408"/>
      <c r="DA46" s="408"/>
    </row>
    <row r="47" spans="1:105" s="252" customFormat="1" ht="3" customHeight="1">
      <c r="A47" s="410"/>
      <c r="B47" s="410"/>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1"/>
      <c r="AN47" s="411"/>
      <c r="AO47" s="411"/>
      <c r="AP47" s="411"/>
      <c r="AQ47" s="411"/>
      <c r="AR47" s="411"/>
      <c r="AS47" s="411"/>
      <c r="AT47" s="411"/>
      <c r="AU47" s="411"/>
      <c r="AV47" s="411"/>
      <c r="AW47" s="411"/>
      <c r="AX47" s="411"/>
      <c r="AY47" s="411"/>
      <c r="AZ47" s="411"/>
      <c r="BA47" s="411"/>
      <c r="BB47" s="411"/>
      <c r="BC47" s="411"/>
      <c r="BD47" s="411"/>
      <c r="BE47" s="410"/>
      <c r="BF47" s="410"/>
      <c r="BG47" s="411"/>
      <c r="BH47" s="411"/>
      <c r="BI47" s="411"/>
      <c r="BJ47" s="411"/>
      <c r="BK47" s="411"/>
      <c r="BL47" s="411"/>
      <c r="BM47" s="411"/>
      <c r="BN47" s="411"/>
      <c r="BO47" s="411"/>
      <c r="BP47" s="411"/>
      <c r="BQ47" s="411"/>
      <c r="BR47" s="411"/>
      <c r="BS47" s="411"/>
      <c r="BT47" s="411"/>
      <c r="BU47" s="411"/>
      <c r="BV47" s="411"/>
      <c r="BW47" s="411"/>
      <c r="BX47" s="411"/>
      <c r="BY47" s="410"/>
      <c r="BZ47" s="410"/>
      <c r="CA47" s="411"/>
      <c r="CB47" s="411"/>
      <c r="CC47" s="411"/>
      <c r="CD47" s="411"/>
      <c r="CE47" s="411"/>
      <c r="CF47" s="411"/>
      <c r="CG47" s="411"/>
      <c r="CH47" s="411"/>
      <c r="CI47" s="411"/>
      <c r="CJ47" s="411"/>
      <c r="CK47" s="411"/>
      <c r="CL47" s="411"/>
      <c r="CM47" s="411"/>
      <c r="CN47" s="411"/>
      <c r="CO47" s="411"/>
      <c r="CP47" s="411"/>
      <c r="CQ47" s="411"/>
      <c r="CR47" s="411"/>
      <c r="CS47" s="410"/>
      <c r="CT47" s="410"/>
      <c r="CU47" s="410"/>
      <c r="CV47" s="410"/>
      <c r="CW47" s="410"/>
      <c r="CX47" s="576"/>
      <c r="CY47" s="410"/>
      <c r="CZ47" s="410"/>
      <c r="DA47" s="410"/>
    </row>
    <row r="48" spans="1:105" s="252" customFormat="1" ht="13.15" customHeight="1">
      <c r="A48" s="410"/>
      <c r="B48" s="410"/>
      <c r="C48" s="410"/>
      <c r="D48" s="410"/>
      <c r="E48" s="410"/>
      <c r="F48" s="410" t="s">
        <v>523</v>
      </c>
      <c r="G48" s="410"/>
      <c r="H48" s="410"/>
      <c r="I48" s="951" t="s">
        <v>172</v>
      </c>
      <c r="J48" s="951"/>
      <c r="K48" s="952"/>
      <c r="L48" s="952"/>
      <c r="M48" s="952"/>
      <c r="N48" s="953" t="s">
        <v>172</v>
      </c>
      <c r="O48" s="953"/>
      <c r="P48" s="410"/>
      <c r="Q48" s="954"/>
      <c r="R48" s="954"/>
      <c r="S48" s="954"/>
      <c r="T48" s="954"/>
      <c r="U48" s="954"/>
      <c r="V48" s="954"/>
      <c r="W48" s="954"/>
      <c r="X48" s="954"/>
      <c r="Y48" s="954"/>
      <c r="Z48" s="954"/>
      <c r="AA48" s="954"/>
      <c r="AB48" s="954"/>
      <c r="AC48" s="954"/>
      <c r="AD48" s="954"/>
      <c r="AE48" s="954"/>
      <c r="AF48" s="413"/>
      <c r="AG48" s="955">
        <v>2023</v>
      </c>
      <c r="AH48" s="956"/>
      <c r="AI48" s="956"/>
      <c r="AJ48" s="956"/>
      <c r="AK48" s="956"/>
      <c r="AL48" s="414" t="s">
        <v>173</v>
      </c>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0"/>
      <c r="BR48" s="410"/>
      <c r="BS48" s="410"/>
      <c r="BT48" s="410"/>
      <c r="BU48" s="410"/>
      <c r="BV48" s="410"/>
      <c r="BW48" s="410"/>
      <c r="BX48" s="410"/>
      <c r="BY48" s="410"/>
      <c r="BZ48" s="410"/>
      <c r="CA48" s="410"/>
      <c r="CB48" s="410"/>
      <c r="CC48" s="410"/>
      <c r="CD48" s="410"/>
      <c r="CE48" s="410"/>
      <c r="CF48" s="410"/>
      <c r="CG48" s="410"/>
      <c r="CH48" s="410"/>
      <c r="CI48" s="410"/>
      <c r="CJ48" s="410"/>
      <c r="CK48" s="410"/>
      <c r="CL48" s="410"/>
      <c r="CM48" s="410"/>
      <c r="CN48" s="410"/>
      <c r="CO48" s="410"/>
      <c r="CP48" s="410"/>
      <c r="CQ48" s="410"/>
      <c r="CR48" s="410"/>
      <c r="CS48" s="410"/>
      <c r="CT48" s="410"/>
      <c r="CU48" s="410"/>
      <c r="CV48" s="410"/>
      <c r="CW48" s="410"/>
      <c r="CX48" s="576"/>
      <c r="CY48" s="410"/>
      <c r="CZ48" s="410"/>
      <c r="DA48" s="410"/>
    </row>
    <row r="49" spans="1:105" s="252" customFormat="1" ht="42" customHeight="1">
      <c r="A49" s="410"/>
      <c r="B49" s="410"/>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0"/>
      <c r="BR49" s="410"/>
      <c r="BS49" s="410"/>
      <c r="BT49" s="410"/>
      <c r="BU49" s="410"/>
      <c r="BV49" s="410"/>
      <c r="BW49" s="410"/>
      <c r="BX49" s="410"/>
      <c r="BY49" s="410"/>
      <c r="BZ49" s="410"/>
      <c r="CA49" s="410"/>
      <c r="CB49" s="410"/>
      <c r="CC49" s="410"/>
      <c r="CD49" s="410"/>
      <c r="CE49" s="410"/>
      <c r="CF49" s="410"/>
      <c r="CG49" s="410"/>
      <c r="CH49" s="410"/>
      <c r="CI49" s="410"/>
      <c r="CJ49" s="410"/>
      <c r="CK49" s="410"/>
      <c r="CL49" s="410"/>
      <c r="CM49" s="410"/>
      <c r="CN49" s="410"/>
      <c r="CO49" s="410"/>
      <c r="CP49" s="410"/>
      <c r="CQ49" s="410"/>
      <c r="CR49" s="410"/>
      <c r="CS49" s="410"/>
      <c r="CT49" s="410"/>
      <c r="CU49" s="410"/>
      <c r="CV49" s="410"/>
      <c r="CW49" s="410"/>
      <c r="CX49" s="576"/>
      <c r="CY49" s="410"/>
      <c r="CZ49" s="410"/>
      <c r="DA49" s="410"/>
    </row>
    <row r="50" spans="1:105" s="252" customFormat="1" ht="3" customHeight="1">
      <c r="A50" s="415"/>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415"/>
      <c r="BC50" s="415"/>
      <c r="BD50" s="415"/>
      <c r="BE50" s="415"/>
      <c r="BF50" s="415"/>
      <c r="BG50" s="415"/>
      <c r="BH50" s="415"/>
      <c r="BI50" s="415"/>
      <c r="BJ50" s="415"/>
      <c r="BK50" s="415"/>
      <c r="BL50" s="415"/>
      <c r="BM50" s="415"/>
      <c r="BN50" s="415"/>
      <c r="BO50" s="415"/>
      <c r="BP50" s="415"/>
      <c r="BQ50" s="415"/>
      <c r="BR50" s="415"/>
      <c r="BS50" s="415"/>
      <c r="BT50" s="415"/>
      <c r="BU50" s="415"/>
      <c r="BV50" s="415"/>
      <c r="BW50" s="415"/>
      <c r="BX50" s="415"/>
      <c r="BY50" s="415"/>
      <c r="BZ50" s="415"/>
      <c r="CA50" s="415"/>
      <c r="CB50" s="415"/>
      <c r="CC50" s="415"/>
      <c r="CD50" s="415"/>
      <c r="CE50" s="415"/>
      <c r="CF50" s="415"/>
      <c r="CG50" s="415"/>
      <c r="CH50" s="415"/>
      <c r="CI50" s="415"/>
      <c r="CJ50" s="415"/>
      <c r="CK50" s="415"/>
      <c r="CL50" s="415"/>
      <c r="CM50" s="416"/>
      <c r="CN50" s="410"/>
      <c r="CO50" s="410"/>
      <c r="CP50" s="410"/>
      <c r="CQ50" s="410"/>
      <c r="CR50" s="410"/>
      <c r="CS50" s="410"/>
      <c r="CT50" s="410"/>
      <c r="CU50" s="410"/>
      <c r="CV50" s="410"/>
      <c r="CW50" s="410"/>
      <c r="CX50" s="576"/>
      <c r="CY50" s="410"/>
      <c r="CZ50" s="410"/>
      <c r="DA50" s="410"/>
    </row>
    <row r="51" spans="1:105" s="252" customFormat="1" ht="15.75">
      <c r="A51" s="417" t="s">
        <v>174</v>
      </c>
      <c r="B51" s="410"/>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0"/>
      <c r="BR51" s="410"/>
      <c r="BS51" s="410"/>
      <c r="BT51" s="410"/>
      <c r="BU51" s="410"/>
      <c r="BV51" s="410"/>
      <c r="BW51" s="410"/>
      <c r="BX51" s="410"/>
      <c r="BY51" s="410"/>
      <c r="BZ51" s="410"/>
      <c r="CA51" s="410"/>
      <c r="CB51" s="410"/>
      <c r="CC51" s="410"/>
      <c r="CD51" s="410"/>
      <c r="CE51" s="410"/>
      <c r="CF51" s="410"/>
      <c r="CG51" s="410"/>
      <c r="CH51" s="410"/>
      <c r="CI51" s="410"/>
      <c r="CJ51" s="410"/>
      <c r="CK51" s="410"/>
      <c r="CL51" s="410"/>
      <c r="CM51" s="418"/>
      <c r="CN51" s="410"/>
      <c r="CO51" s="410"/>
      <c r="CP51" s="410"/>
      <c r="CQ51" s="410"/>
      <c r="CR51" s="410"/>
      <c r="CS51" s="410"/>
      <c r="CT51" s="410"/>
      <c r="CU51" s="410"/>
      <c r="CV51" s="410"/>
      <c r="CW51" s="410"/>
      <c r="CX51" s="576"/>
      <c r="CY51" s="410"/>
      <c r="CZ51" s="410"/>
      <c r="DA51" s="410"/>
    </row>
    <row r="52" spans="1:105" ht="37.5" customHeight="1">
      <c r="A52" s="957" t="s">
        <v>952</v>
      </c>
      <c r="B52" s="958"/>
      <c r="C52" s="958"/>
      <c r="D52" s="958"/>
      <c r="E52" s="958"/>
      <c r="F52" s="958"/>
      <c r="G52" s="958"/>
      <c r="H52" s="958"/>
      <c r="I52" s="958"/>
      <c r="J52" s="958"/>
      <c r="K52" s="958"/>
      <c r="L52" s="958"/>
      <c r="M52" s="958"/>
      <c r="N52" s="958"/>
      <c r="O52" s="958"/>
      <c r="P52" s="958"/>
      <c r="Q52" s="958"/>
      <c r="R52" s="958"/>
      <c r="S52" s="958"/>
      <c r="T52" s="958"/>
      <c r="U52" s="958"/>
      <c r="V52" s="958"/>
      <c r="W52" s="958"/>
      <c r="X52" s="958"/>
      <c r="Y52" s="958"/>
      <c r="Z52" s="958"/>
      <c r="AA52" s="958"/>
      <c r="AB52" s="958"/>
      <c r="AC52" s="958"/>
      <c r="AD52" s="958"/>
      <c r="AE52" s="958"/>
      <c r="AF52" s="958"/>
      <c r="AG52" s="958"/>
      <c r="AH52" s="958"/>
      <c r="AI52" s="958"/>
      <c r="AJ52" s="958"/>
      <c r="AK52" s="958"/>
      <c r="AL52" s="958"/>
      <c r="AM52" s="958"/>
      <c r="AN52" s="958"/>
      <c r="AO52" s="958"/>
      <c r="AP52" s="958"/>
      <c r="AQ52" s="958"/>
      <c r="AR52" s="958"/>
      <c r="AS52" s="958"/>
      <c r="AT52" s="958"/>
      <c r="AU52" s="958"/>
      <c r="AV52" s="958"/>
      <c r="AW52" s="958"/>
      <c r="AX52" s="958"/>
      <c r="AY52" s="958"/>
      <c r="AZ52" s="958"/>
      <c r="BA52" s="958"/>
      <c r="BB52" s="958"/>
      <c r="BC52" s="958"/>
      <c r="BD52" s="958"/>
      <c r="BE52" s="958"/>
      <c r="BF52" s="958"/>
      <c r="BG52" s="958"/>
      <c r="BH52" s="958"/>
      <c r="BI52" s="958"/>
      <c r="BJ52" s="958"/>
      <c r="BK52" s="958"/>
      <c r="BL52" s="958"/>
      <c r="BM52" s="958"/>
      <c r="BN52" s="958"/>
      <c r="BO52" s="958"/>
      <c r="BP52" s="958"/>
      <c r="BQ52" s="958"/>
      <c r="BR52" s="958"/>
      <c r="BS52" s="958"/>
      <c r="BT52" s="958"/>
      <c r="BU52" s="958"/>
      <c r="BV52" s="958"/>
      <c r="BW52" s="958"/>
      <c r="BX52" s="958"/>
      <c r="BY52" s="958"/>
      <c r="BZ52" s="958"/>
      <c r="CA52" s="958"/>
      <c r="CB52" s="958"/>
      <c r="CC52" s="958"/>
      <c r="CD52" s="958"/>
      <c r="CE52" s="958"/>
      <c r="CF52" s="958"/>
      <c r="CG52" s="958"/>
      <c r="CH52" s="958"/>
      <c r="CI52" s="958"/>
      <c r="CJ52" s="958"/>
      <c r="CK52" s="958"/>
      <c r="CL52" s="958"/>
      <c r="CM52" s="959"/>
      <c r="CN52" s="408"/>
      <c r="CO52" s="408"/>
      <c r="CP52" s="408"/>
      <c r="CQ52" s="408"/>
      <c r="CR52" s="408"/>
      <c r="CS52" s="408"/>
      <c r="CT52" s="408"/>
      <c r="CU52" s="408"/>
      <c r="CV52" s="408"/>
      <c r="CW52" s="408"/>
      <c r="CX52" s="575"/>
      <c r="CY52" s="408"/>
      <c r="CZ52" s="408"/>
      <c r="DA52" s="408"/>
    </row>
    <row r="53" spans="1:105" s="51" customFormat="1" ht="15.75">
      <c r="A53" s="943" t="s">
        <v>524</v>
      </c>
      <c r="B53" s="942"/>
      <c r="C53" s="942"/>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c r="AC53" s="942"/>
      <c r="AD53" s="942"/>
      <c r="AE53" s="942"/>
      <c r="AF53" s="942"/>
      <c r="AG53" s="942"/>
      <c r="AH53" s="942"/>
      <c r="AI53" s="942"/>
      <c r="AJ53" s="942"/>
      <c r="AK53" s="942"/>
      <c r="AL53" s="942"/>
      <c r="AM53" s="942"/>
      <c r="AN53" s="942"/>
      <c r="AO53" s="942"/>
      <c r="AP53" s="942"/>
      <c r="AQ53" s="942"/>
      <c r="AR53" s="942"/>
      <c r="AS53" s="942"/>
      <c r="AT53" s="942"/>
      <c r="AU53" s="942"/>
      <c r="AV53" s="942"/>
      <c r="AW53" s="942"/>
      <c r="AX53" s="942"/>
      <c r="AY53" s="942"/>
      <c r="AZ53" s="942"/>
      <c r="BA53" s="942"/>
      <c r="BB53" s="942"/>
      <c r="BC53" s="942"/>
      <c r="BD53" s="942"/>
      <c r="BE53" s="942"/>
      <c r="BF53" s="942"/>
      <c r="BG53" s="942"/>
      <c r="BH53" s="942"/>
      <c r="BI53" s="942"/>
      <c r="BJ53" s="942"/>
      <c r="BK53" s="942"/>
      <c r="BL53" s="942"/>
      <c r="BM53" s="942"/>
      <c r="BN53" s="942"/>
      <c r="BO53" s="942"/>
      <c r="BP53" s="942"/>
      <c r="BQ53" s="942"/>
      <c r="BR53" s="942"/>
      <c r="BS53" s="942"/>
      <c r="BT53" s="942"/>
      <c r="BU53" s="942"/>
      <c r="BV53" s="942"/>
      <c r="BW53" s="942"/>
      <c r="BX53" s="942"/>
      <c r="BY53" s="942"/>
      <c r="BZ53" s="942"/>
      <c r="CA53" s="942"/>
      <c r="CB53" s="942"/>
      <c r="CC53" s="942"/>
      <c r="CD53" s="942"/>
      <c r="CE53" s="942"/>
      <c r="CF53" s="942"/>
      <c r="CG53" s="942"/>
      <c r="CH53" s="942"/>
      <c r="CI53" s="942"/>
      <c r="CJ53" s="942"/>
      <c r="CK53" s="942"/>
      <c r="CL53" s="942"/>
      <c r="CM53" s="944"/>
      <c r="CN53" s="408"/>
      <c r="CO53" s="408"/>
      <c r="CP53" s="408"/>
      <c r="CQ53" s="408"/>
      <c r="CR53" s="408"/>
      <c r="CS53" s="408"/>
      <c r="CT53" s="408"/>
      <c r="CU53" s="408"/>
      <c r="CV53" s="408"/>
      <c r="CW53" s="408"/>
      <c r="CX53" s="575"/>
      <c r="CY53" s="408"/>
      <c r="CZ53" s="408"/>
      <c r="DA53" s="408"/>
    </row>
    <row r="54" spans="1:105" ht="6" customHeight="1">
      <c r="A54" s="419"/>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20"/>
      <c r="AO54" s="420"/>
      <c r="AP54" s="420"/>
      <c r="AQ54" s="420"/>
      <c r="AR54" s="420"/>
      <c r="AS54" s="420"/>
      <c r="AT54" s="420"/>
      <c r="AU54" s="420"/>
      <c r="AV54" s="420"/>
      <c r="AW54" s="420"/>
      <c r="AX54" s="420"/>
      <c r="AY54" s="420"/>
      <c r="AZ54" s="420"/>
      <c r="BA54" s="420"/>
      <c r="BB54" s="420"/>
      <c r="BC54" s="420"/>
      <c r="BD54" s="420"/>
      <c r="BE54" s="420"/>
      <c r="BF54" s="420"/>
      <c r="BG54" s="420"/>
      <c r="BH54" s="420"/>
      <c r="BI54" s="420"/>
      <c r="BJ54" s="420"/>
      <c r="BK54" s="420"/>
      <c r="BL54" s="420"/>
      <c r="BM54" s="420"/>
      <c r="BN54" s="420"/>
      <c r="BO54" s="420"/>
      <c r="BP54" s="420"/>
      <c r="BQ54" s="420"/>
      <c r="BR54" s="420"/>
      <c r="BS54" s="420"/>
      <c r="BT54" s="420"/>
      <c r="BU54" s="420"/>
      <c r="BV54" s="420"/>
      <c r="BW54" s="420"/>
      <c r="BX54" s="420"/>
      <c r="BY54" s="420"/>
      <c r="BZ54" s="420"/>
      <c r="CA54" s="420"/>
      <c r="CB54" s="420"/>
      <c r="CC54" s="420"/>
      <c r="CD54" s="420"/>
      <c r="CE54" s="420"/>
      <c r="CF54" s="420"/>
      <c r="CG54" s="420"/>
      <c r="CH54" s="420"/>
      <c r="CI54" s="420"/>
      <c r="CJ54" s="420"/>
      <c r="CK54" s="420"/>
      <c r="CL54" s="420"/>
      <c r="CM54" s="421"/>
      <c r="CN54" s="408"/>
      <c r="CO54" s="408"/>
      <c r="CP54" s="408"/>
      <c r="CQ54" s="408"/>
      <c r="CR54" s="408"/>
      <c r="CS54" s="408"/>
      <c r="CT54" s="408"/>
      <c r="CU54" s="408"/>
      <c r="CV54" s="408"/>
      <c r="CW54" s="408"/>
      <c r="CX54" s="575"/>
      <c r="CY54" s="408"/>
      <c r="CZ54" s="408"/>
      <c r="DA54" s="408"/>
    </row>
    <row r="55" spans="1:105" ht="15.75">
      <c r="A55" s="960"/>
      <c r="B55" s="961"/>
      <c r="C55" s="961"/>
      <c r="D55" s="961"/>
      <c r="E55" s="961"/>
      <c r="F55" s="961"/>
      <c r="G55" s="961"/>
      <c r="H55" s="961"/>
      <c r="I55" s="961"/>
      <c r="J55" s="961"/>
      <c r="K55" s="961"/>
      <c r="L55" s="961"/>
      <c r="M55" s="961"/>
      <c r="N55" s="961"/>
      <c r="O55" s="961"/>
      <c r="P55" s="961"/>
      <c r="Q55" s="961"/>
      <c r="R55" s="961"/>
      <c r="S55" s="961"/>
      <c r="T55" s="961"/>
      <c r="U55" s="961"/>
      <c r="V55" s="961"/>
      <c r="W55" s="961"/>
      <c r="X55" s="961"/>
      <c r="Y55" s="961"/>
      <c r="Z55" s="408"/>
      <c r="AA55" s="408"/>
      <c r="AB55" s="408"/>
      <c r="AC55" s="408"/>
      <c r="AD55" s="408"/>
      <c r="AE55" s="408"/>
      <c r="AF55" s="408"/>
      <c r="AG55" s="408"/>
      <c r="AH55" s="962" t="s">
        <v>953</v>
      </c>
      <c r="AI55" s="962"/>
      <c r="AJ55" s="962"/>
      <c r="AK55" s="962"/>
      <c r="AL55" s="962"/>
      <c r="AM55" s="962"/>
      <c r="AN55" s="962"/>
      <c r="AO55" s="962"/>
      <c r="AP55" s="962"/>
      <c r="AQ55" s="962"/>
      <c r="AR55" s="962"/>
      <c r="AS55" s="962"/>
      <c r="AT55" s="962"/>
      <c r="AU55" s="962"/>
      <c r="AV55" s="962"/>
      <c r="AW55" s="962"/>
      <c r="AX55" s="962"/>
      <c r="AY55" s="962"/>
      <c r="AZ55" s="962"/>
      <c r="BA55" s="962"/>
      <c r="BB55" s="962"/>
      <c r="BC55" s="962"/>
      <c r="BD55" s="962"/>
      <c r="BE55" s="962"/>
      <c r="BF55" s="962"/>
      <c r="BG55" s="962"/>
      <c r="BH55" s="962"/>
      <c r="BI55" s="962"/>
      <c r="BJ55" s="962"/>
      <c r="BK55" s="962"/>
      <c r="BL55" s="962"/>
      <c r="BM55" s="962"/>
      <c r="BN55" s="962"/>
      <c r="BO55" s="962"/>
      <c r="BP55" s="962"/>
      <c r="BQ55" s="962"/>
      <c r="BR55" s="962"/>
      <c r="BS55" s="962"/>
      <c r="BT55" s="962"/>
      <c r="BU55" s="962"/>
      <c r="BV55" s="962"/>
      <c r="BW55" s="962"/>
      <c r="BX55" s="962"/>
      <c r="BY55" s="962"/>
      <c r="BZ55" s="962"/>
      <c r="CA55" s="962"/>
      <c r="CB55" s="962"/>
      <c r="CC55" s="962"/>
      <c r="CD55" s="962"/>
      <c r="CE55" s="962"/>
      <c r="CF55" s="962"/>
      <c r="CG55" s="962"/>
      <c r="CH55" s="962"/>
      <c r="CI55" s="962"/>
      <c r="CJ55" s="962"/>
      <c r="CK55" s="962"/>
      <c r="CL55" s="962"/>
      <c r="CM55" s="963"/>
      <c r="CN55" s="408"/>
      <c r="CO55" s="408"/>
      <c r="CP55" s="408"/>
      <c r="CQ55" s="408"/>
      <c r="CR55" s="408"/>
      <c r="CS55" s="408"/>
      <c r="CT55" s="408"/>
      <c r="CU55" s="408"/>
      <c r="CV55" s="408"/>
      <c r="CW55" s="408"/>
      <c r="CX55" s="575"/>
      <c r="CY55" s="408"/>
      <c r="CZ55" s="408"/>
      <c r="DA55" s="408"/>
    </row>
    <row r="56" spans="1:105" s="51" customFormat="1" ht="15.75">
      <c r="A56" s="943" t="s">
        <v>175</v>
      </c>
      <c r="B56" s="942"/>
      <c r="C56" s="942"/>
      <c r="D56" s="942"/>
      <c r="E56" s="942"/>
      <c r="F56" s="942"/>
      <c r="G56" s="942"/>
      <c r="H56" s="942"/>
      <c r="I56" s="942"/>
      <c r="J56" s="942"/>
      <c r="K56" s="942"/>
      <c r="L56" s="942"/>
      <c r="M56" s="942"/>
      <c r="N56" s="942"/>
      <c r="O56" s="942"/>
      <c r="P56" s="942"/>
      <c r="Q56" s="942"/>
      <c r="R56" s="942"/>
      <c r="S56" s="942"/>
      <c r="T56" s="942"/>
      <c r="U56" s="942"/>
      <c r="V56" s="942"/>
      <c r="W56" s="942"/>
      <c r="X56" s="942"/>
      <c r="Y56" s="942"/>
      <c r="Z56" s="408"/>
      <c r="AA56" s="408"/>
      <c r="AB56" s="408"/>
      <c r="AC56" s="408"/>
      <c r="AD56" s="408"/>
      <c r="AE56" s="408"/>
      <c r="AF56" s="408"/>
      <c r="AG56" s="408"/>
      <c r="AH56" s="942" t="s">
        <v>116</v>
      </c>
      <c r="AI56" s="942"/>
      <c r="AJ56" s="942"/>
      <c r="AK56" s="942"/>
      <c r="AL56" s="942"/>
      <c r="AM56" s="942"/>
      <c r="AN56" s="942"/>
      <c r="AO56" s="942"/>
      <c r="AP56" s="942"/>
      <c r="AQ56" s="942"/>
      <c r="AR56" s="942"/>
      <c r="AS56" s="942"/>
      <c r="AT56" s="942"/>
      <c r="AU56" s="942"/>
      <c r="AV56" s="942"/>
      <c r="AW56" s="942"/>
      <c r="AX56" s="942"/>
      <c r="AY56" s="942"/>
      <c r="AZ56" s="942"/>
      <c r="BA56" s="942"/>
      <c r="BB56" s="942"/>
      <c r="BC56" s="942"/>
      <c r="BD56" s="942"/>
      <c r="BE56" s="942"/>
      <c r="BF56" s="942"/>
      <c r="BG56" s="942"/>
      <c r="BH56" s="942"/>
      <c r="BI56" s="942"/>
      <c r="BJ56" s="942"/>
      <c r="BK56" s="942"/>
      <c r="BL56" s="942"/>
      <c r="BM56" s="942"/>
      <c r="BN56" s="942"/>
      <c r="BO56" s="942"/>
      <c r="BP56" s="942"/>
      <c r="BQ56" s="942"/>
      <c r="BR56" s="942"/>
      <c r="BS56" s="942"/>
      <c r="BT56" s="942"/>
      <c r="BU56" s="942"/>
      <c r="BV56" s="942"/>
      <c r="BW56" s="942"/>
      <c r="BX56" s="942"/>
      <c r="BY56" s="942"/>
      <c r="BZ56" s="942"/>
      <c r="CA56" s="942"/>
      <c r="CB56" s="942"/>
      <c r="CC56" s="942"/>
      <c r="CD56" s="942"/>
      <c r="CE56" s="942"/>
      <c r="CF56" s="942"/>
      <c r="CG56" s="942"/>
      <c r="CH56" s="942"/>
      <c r="CI56" s="942"/>
      <c r="CJ56" s="942"/>
      <c r="CK56" s="942"/>
      <c r="CL56" s="942"/>
      <c r="CM56" s="944"/>
      <c r="CN56" s="408"/>
      <c r="CO56" s="408"/>
      <c r="CP56" s="408"/>
      <c r="CQ56" s="408"/>
      <c r="CR56" s="408"/>
      <c r="CS56" s="408"/>
      <c r="CT56" s="408"/>
      <c r="CU56" s="408"/>
      <c r="CV56" s="408"/>
      <c r="CW56" s="408"/>
      <c r="CX56" s="575"/>
      <c r="CY56" s="408"/>
      <c r="CZ56" s="408"/>
      <c r="DA56" s="408"/>
    </row>
    <row r="57" spans="1:105" ht="10.15" customHeight="1">
      <c r="A57" s="422"/>
      <c r="B57" s="408"/>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8"/>
      <c r="AY57" s="408"/>
      <c r="AZ57" s="408"/>
      <c r="BA57" s="408"/>
      <c r="BB57" s="408"/>
      <c r="BC57" s="408"/>
      <c r="BD57" s="408"/>
      <c r="BE57" s="408"/>
      <c r="BF57" s="408"/>
      <c r="BG57" s="408"/>
      <c r="BH57" s="408"/>
      <c r="BI57" s="408"/>
      <c r="BJ57" s="408"/>
      <c r="BK57" s="408"/>
      <c r="BL57" s="408"/>
      <c r="BM57" s="408"/>
      <c r="BN57" s="408"/>
      <c r="BO57" s="408"/>
      <c r="BP57" s="408"/>
      <c r="BQ57" s="408"/>
      <c r="BR57" s="408"/>
      <c r="BS57" s="408"/>
      <c r="BT57" s="408"/>
      <c r="BU57" s="408"/>
      <c r="BV57" s="408"/>
      <c r="BW57" s="408"/>
      <c r="BX57" s="408"/>
      <c r="BY57" s="408"/>
      <c r="BZ57" s="408"/>
      <c r="CA57" s="408"/>
      <c r="CB57" s="408"/>
      <c r="CC57" s="408"/>
      <c r="CD57" s="408"/>
      <c r="CE57" s="408"/>
      <c r="CF57" s="408"/>
      <c r="CG57" s="408"/>
      <c r="CH57" s="408"/>
      <c r="CI57" s="408"/>
      <c r="CJ57" s="408"/>
      <c r="CK57" s="408"/>
      <c r="CL57" s="408"/>
      <c r="CM57" s="423"/>
      <c r="CN57" s="408"/>
      <c r="CO57" s="408"/>
      <c r="CP57" s="408"/>
      <c r="CQ57" s="408"/>
      <c r="CR57" s="408"/>
      <c r="CS57" s="408"/>
      <c r="CT57" s="408"/>
      <c r="CU57" s="408"/>
      <c r="CV57" s="408"/>
      <c r="CW57" s="408"/>
      <c r="CX57" s="575"/>
      <c r="CY57" s="408"/>
      <c r="CZ57" s="408"/>
      <c r="DA57" s="408"/>
    </row>
    <row r="58" spans="1:105" s="51" customFormat="1" ht="15.75">
      <c r="A58" s="945" t="s">
        <v>172</v>
      </c>
      <c r="B58" s="946"/>
      <c r="C58" s="947"/>
      <c r="D58" s="947"/>
      <c r="E58" s="947"/>
      <c r="F58" s="948" t="s">
        <v>172</v>
      </c>
      <c r="G58" s="948"/>
      <c r="H58" s="408"/>
      <c r="I58" s="947"/>
      <c r="J58" s="947"/>
      <c r="K58" s="947"/>
      <c r="L58" s="947"/>
      <c r="M58" s="947"/>
      <c r="N58" s="947"/>
      <c r="O58" s="947"/>
      <c r="P58" s="947"/>
      <c r="Q58" s="947"/>
      <c r="R58" s="947"/>
      <c r="S58" s="947"/>
      <c r="T58" s="947"/>
      <c r="U58" s="947"/>
      <c r="V58" s="947"/>
      <c r="W58" s="947"/>
      <c r="X58" s="949">
        <v>20</v>
      </c>
      <c r="Y58" s="949"/>
      <c r="Z58" s="949"/>
      <c r="AA58" s="950" t="s">
        <v>950</v>
      </c>
      <c r="AB58" s="950"/>
      <c r="AC58" s="950"/>
      <c r="AD58" s="436" t="s">
        <v>173</v>
      </c>
      <c r="AE58" s="28"/>
      <c r="AF58" s="28"/>
      <c r="AG58" s="408"/>
      <c r="AH58" s="408"/>
      <c r="AI58" s="408"/>
      <c r="AJ58" s="408"/>
      <c r="AK58" s="408"/>
      <c r="AL58" s="408"/>
      <c r="AM58" s="408"/>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c r="BY58" s="408"/>
      <c r="BZ58" s="408"/>
      <c r="CA58" s="408"/>
      <c r="CB58" s="408"/>
      <c r="CC58" s="408"/>
      <c r="CD58" s="408"/>
      <c r="CE58" s="408"/>
      <c r="CF58" s="408"/>
      <c r="CG58" s="408"/>
      <c r="CH58" s="408"/>
      <c r="CI58" s="408"/>
      <c r="CJ58" s="408"/>
      <c r="CK58" s="408"/>
      <c r="CL58" s="408"/>
      <c r="CM58" s="423"/>
      <c r="CN58" s="408"/>
      <c r="CO58" s="408"/>
      <c r="CP58" s="408"/>
      <c r="CQ58" s="408"/>
      <c r="CR58" s="408"/>
      <c r="CS58" s="408"/>
      <c r="CT58" s="408"/>
      <c r="CU58" s="408"/>
      <c r="CV58" s="408"/>
      <c r="CW58" s="408"/>
      <c r="CX58" s="575"/>
      <c r="CY58" s="408"/>
      <c r="CZ58" s="408"/>
      <c r="DA58" s="408"/>
    </row>
    <row r="59" spans="1:105" ht="3" customHeight="1">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6"/>
    </row>
    <row r="74" spans="4:102" ht="79.5" customHeight="1"/>
    <row r="75" spans="4:102" ht="10.15" customHeight="1">
      <c r="D75" s="245"/>
    </row>
    <row r="76" spans="4:102" ht="10.15" customHeight="1">
      <c r="D76" s="225"/>
    </row>
    <row r="77" spans="4:102" s="241" customFormat="1" ht="10.15" hidden="1" customHeight="1">
      <c r="CX77" s="577"/>
    </row>
    <row r="78" spans="4:102" s="241" customFormat="1" ht="10.15" hidden="1" customHeight="1">
      <c r="CX78" s="577"/>
    </row>
    <row r="79" spans="4:102" s="241" customFormat="1" ht="10.15" hidden="1" customHeight="1">
      <c r="CX79" s="577"/>
    </row>
    <row r="99" spans="4:102" ht="10.15" customHeight="1">
      <c r="D99" s="246" t="s">
        <v>529</v>
      </c>
      <c r="E99" s="245"/>
    </row>
    <row r="100" spans="4:102" s="241" customFormat="1" ht="10.15" hidden="1" customHeight="1">
      <c r="CX100" s="577"/>
    </row>
    <row r="101" spans="4:102" s="241" customFormat="1" ht="10.15" hidden="1" customHeight="1">
      <c r="CX101" s="577"/>
    </row>
    <row r="102" spans="4:102" s="241" customFormat="1" ht="10.15" hidden="1" customHeight="1">
      <c r="CX102" s="577"/>
    </row>
    <row r="103" spans="4:102" s="241" customFormat="1" ht="10.15" hidden="1" customHeight="1">
      <c r="CX103" s="577"/>
    </row>
    <row r="104" spans="4:102" s="241" customFormat="1" ht="10.15" hidden="1" customHeight="1">
      <c r="CX104" s="577"/>
    </row>
    <row r="105" spans="4:102" s="241" customFormat="1" ht="10.15" hidden="1" customHeight="1">
      <c r="CX105" s="577"/>
    </row>
    <row r="106" spans="4:102" s="241" customFormat="1" ht="10.15" hidden="1" customHeight="1">
      <c r="CX106" s="577"/>
    </row>
    <row r="107" spans="4:102" s="241" customFormat="1" ht="10.15" hidden="1" customHeight="1">
      <c r="CX107" s="577"/>
    </row>
    <row r="108" spans="4:102" s="241" customFormat="1" ht="10.15" hidden="1" customHeight="1">
      <c r="CX108" s="577"/>
    </row>
  </sheetData>
  <mergeCells count="13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B1:DA1"/>
    <mergeCell ref="A3:H5"/>
    <mergeCell ref="I3:CM5"/>
    <mergeCell ref="CN3:CU5"/>
    <mergeCell ref="CV3:CV5"/>
    <mergeCell ref="CW3:CW5"/>
    <mergeCell ref="CX3:DA3"/>
    <mergeCell ref="DA4:DA5"/>
    <mergeCell ref="A6:H6"/>
    <mergeCell ref="I6:CM6"/>
    <mergeCell ref="CN6:CU6"/>
    <mergeCell ref="A8:H8"/>
    <mergeCell ref="I8:CM8"/>
    <mergeCell ref="CN8:CU8"/>
    <mergeCell ref="A9:H9"/>
    <mergeCell ref="I9:CM9"/>
    <mergeCell ref="CN9:CU9"/>
    <mergeCell ref="A10:H10"/>
    <mergeCell ref="I10:CM10"/>
    <mergeCell ref="CN10:CU10"/>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17:H17"/>
    <mergeCell ref="I17:CM17"/>
    <mergeCell ref="CN17:CU17"/>
    <mergeCell ref="A18:H18"/>
    <mergeCell ref="I18:CM18"/>
    <mergeCell ref="CN18:CU18"/>
    <mergeCell ref="A19:H19"/>
    <mergeCell ref="I19:CM19"/>
    <mergeCell ref="CN19:CU19"/>
    <mergeCell ref="A20:H20"/>
    <mergeCell ref="I20:CM20"/>
    <mergeCell ref="CN20:CU20"/>
    <mergeCell ref="A22:H22"/>
    <mergeCell ref="I22:CM22"/>
    <mergeCell ref="CN22:CU22"/>
    <mergeCell ref="A23:H23"/>
    <mergeCell ref="I23:CM23"/>
    <mergeCell ref="CN23:CU23"/>
    <mergeCell ref="A21:H21"/>
    <mergeCell ref="I21:CM21"/>
    <mergeCell ref="CN21:CU21"/>
    <mergeCell ref="A31:H31"/>
    <mergeCell ref="I31:CM31"/>
    <mergeCell ref="CN31:CU31"/>
    <mergeCell ref="A32:H32"/>
    <mergeCell ref="I32:CM32"/>
    <mergeCell ref="CN32:CU32"/>
    <mergeCell ref="A33:H33"/>
    <mergeCell ref="I33:CM33"/>
    <mergeCell ref="CN33:CU33"/>
    <mergeCell ref="A34:H34"/>
    <mergeCell ref="I34:CM34"/>
    <mergeCell ref="CN34:CU34"/>
    <mergeCell ref="A35:H35"/>
    <mergeCell ref="I35:CM35"/>
    <mergeCell ref="CN35:CU35"/>
    <mergeCell ref="A36:H36"/>
    <mergeCell ref="I36:CM36"/>
    <mergeCell ref="CN36:CU36"/>
    <mergeCell ref="A37:H37"/>
    <mergeCell ref="I37:CM37"/>
    <mergeCell ref="CN37:CU37"/>
    <mergeCell ref="A38:H38"/>
    <mergeCell ref="I38:CM38"/>
    <mergeCell ref="CN38:CU38"/>
    <mergeCell ref="A39:H39"/>
    <mergeCell ref="I39:CM39"/>
    <mergeCell ref="CN39:CU39"/>
    <mergeCell ref="AQ42:BH42"/>
    <mergeCell ref="BK42:BV42"/>
    <mergeCell ref="BY42:CR42"/>
    <mergeCell ref="AQ43:BH43"/>
    <mergeCell ref="BK43:BV43"/>
    <mergeCell ref="BY43:CR43"/>
    <mergeCell ref="AM45:BD45"/>
    <mergeCell ref="BG45:BX45"/>
    <mergeCell ref="CA45:CR45"/>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s>
  <pageMargins left="0.78740157480314965" right="0.39370078740157483" top="0.78740157480314965" bottom="0.39370078740157483" header="0.31496062992125984" footer="0.31496062992125984"/>
  <pageSetup paperSize="9" scale="43" fitToHeight="0" orientation="portrait" horizontalDpi="4294967295" verticalDpi="4294967295" r:id="rId1"/>
  <rowBreaks count="1" manualBreakCount="1">
    <brk id="37" max="10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92D050"/>
    <pageSetUpPr fitToPage="1"/>
  </sheetPr>
  <dimension ref="A1:O276"/>
  <sheetViews>
    <sheetView view="pageBreakPreview" topLeftCell="A22" zoomScale="70" zoomScaleNormal="85" zoomScaleSheetLayoutView="70" workbookViewId="0">
      <selection activeCell="I68" sqref="I68"/>
    </sheetView>
  </sheetViews>
  <sheetFormatPr defaultColWidth="9.140625" defaultRowHeight="15"/>
  <cols>
    <col min="1" max="1" width="9.140625" style="52" bestFit="1"/>
    <col min="2" max="2" width="36.5703125" style="52" customWidth="1"/>
    <col min="3" max="3" width="18.7109375" style="52" customWidth="1"/>
    <col min="4" max="4" width="16.85546875" style="52" bestFit="1" customWidth="1"/>
    <col min="5" max="5" width="12.42578125" style="52" bestFit="1" customWidth="1"/>
    <col min="6" max="6" width="15.42578125" style="52" bestFit="1" customWidth="1"/>
    <col min="7" max="7" width="14.7109375" style="52" bestFit="1" customWidth="1"/>
    <col min="8" max="8" width="11.85546875" style="52" bestFit="1" customWidth="1"/>
    <col min="9" max="9" width="17.140625" style="52" bestFit="1" customWidth="1"/>
    <col min="10" max="10" width="14.5703125" style="52" bestFit="1" customWidth="1"/>
    <col min="11" max="11" width="13" style="52" bestFit="1" customWidth="1"/>
    <col min="12" max="12" width="16" style="52" bestFit="1" customWidth="1"/>
    <col min="13" max="13" width="14" style="52" bestFit="1" customWidth="1"/>
    <col min="14" max="14" width="14.28515625" style="52" bestFit="1" customWidth="1"/>
    <col min="15" max="15" width="14" style="52" bestFit="1" customWidth="1"/>
    <col min="16" max="16" width="9.140625" style="52" bestFit="1"/>
    <col min="17" max="16384" width="9.140625" style="52"/>
  </cols>
  <sheetData>
    <row r="1" spans="1:15" ht="17.25">
      <c r="A1" s="1050" t="s">
        <v>206</v>
      </c>
      <c r="B1" s="1050"/>
      <c r="C1" s="1050"/>
      <c r="D1" s="1050"/>
      <c r="E1" s="1050"/>
      <c r="F1" s="1050"/>
      <c r="G1" s="1050"/>
      <c r="H1" s="1050"/>
      <c r="I1" s="1050"/>
      <c r="J1" s="1050"/>
      <c r="K1" s="1050"/>
      <c r="L1" s="1050"/>
      <c r="M1" s="53"/>
      <c r="N1" s="53"/>
      <c r="O1" s="53"/>
    </row>
    <row r="2" spans="1:15" ht="17.25">
      <c r="A2" s="1050" t="s">
        <v>207</v>
      </c>
      <c r="B2" s="1050"/>
      <c r="C2" s="1050"/>
      <c r="D2" s="1050"/>
      <c r="E2" s="1050"/>
      <c r="F2" s="1050"/>
      <c r="G2" s="1050"/>
      <c r="H2" s="1050"/>
      <c r="I2" s="1050"/>
      <c r="J2" s="1050"/>
      <c r="K2" s="1050"/>
      <c r="L2" s="1050"/>
      <c r="M2" s="1050"/>
      <c r="N2" s="1050"/>
      <c r="O2" s="1050"/>
    </row>
    <row r="4" spans="1:15" ht="15.75">
      <c r="A4" s="54" t="s">
        <v>208</v>
      </c>
    </row>
    <row r="5" spans="1:15" ht="15.75">
      <c r="A5" s="1039" t="s">
        <v>209</v>
      </c>
      <c r="B5" s="1039"/>
      <c r="C5" s="1039"/>
      <c r="D5" s="1039"/>
      <c r="E5" s="1039"/>
      <c r="F5" s="1039"/>
      <c r="G5" s="1039"/>
      <c r="H5" s="1039"/>
      <c r="I5" s="1039"/>
      <c r="J5" s="1039"/>
      <c r="K5" s="1039"/>
      <c r="L5" s="1039"/>
    </row>
    <row r="6" spans="1:15" ht="15.75">
      <c r="A6" s="55" t="s">
        <v>481</v>
      </c>
      <c r="B6" s="55"/>
      <c r="C6" s="55"/>
      <c r="D6" s="55"/>
      <c r="E6" s="55"/>
      <c r="F6" s="55"/>
      <c r="G6" s="55"/>
      <c r="H6" s="55"/>
      <c r="I6" s="55"/>
      <c r="J6" s="55"/>
      <c r="K6" s="55"/>
      <c r="L6" s="55"/>
      <c r="M6" s="56"/>
      <c r="N6" s="56"/>
      <c r="O6" s="56"/>
    </row>
    <row r="7" spans="1:15" ht="15.75">
      <c r="A7" s="2"/>
      <c r="B7" s="2"/>
      <c r="C7" s="2"/>
      <c r="D7" s="2"/>
      <c r="E7" s="2"/>
      <c r="F7" s="2"/>
      <c r="G7" s="2"/>
      <c r="H7" s="2"/>
      <c r="I7" s="2"/>
      <c r="J7" s="2"/>
      <c r="K7" s="2"/>
      <c r="L7" s="2"/>
      <c r="M7" s="56"/>
      <c r="N7" s="56"/>
      <c r="O7" s="56"/>
    </row>
    <row r="8" spans="1:15">
      <c r="A8" s="1046" t="s">
        <v>210</v>
      </c>
      <c r="B8" s="1046" t="s">
        <v>211</v>
      </c>
      <c r="C8" s="1046" t="s">
        <v>212</v>
      </c>
      <c r="D8" s="1051" t="s">
        <v>559</v>
      </c>
      <c r="E8" s="1051"/>
      <c r="F8" s="1051"/>
      <c r="G8" s="1051" t="s">
        <v>560</v>
      </c>
      <c r="H8" s="1051"/>
      <c r="I8" s="1051"/>
      <c r="J8" s="1051" t="s">
        <v>561</v>
      </c>
      <c r="K8" s="1051"/>
      <c r="L8" s="1051"/>
      <c r="M8" s="56"/>
      <c r="N8" s="56"/>
      <c r="O8" s="56"/>
    </row>
    <row r="9" spans="1:15" ht="63.75">
      <c r="A9" s="1046"/>
      <c r="B9" s="1046"/>
      <c r="C9" s="1046"/>
      <c r="D9" s="57" t="s">
        <v>216</v>
      </c>
      <c r="E9" s="57" t="s">
        <v>217</v>
      </c>
      <c r="F9" s="57" t="s">
        <v>218</v>
      </c>
      <c r="G9" s="57" t="s">
        <v>216</v>
      </c>
      <c r="H9" s="57" t="s">
        <v>217</v>
      </c>
      <c r="I9" s="57" t="s">
        <v>218</v>
      </c>
      <c r="J9" s="57" t="s">
        <v>216</v>
      </c>
      <c r="K9" s="57" t="s">
        <v>217</v>
      </c>
      <c r="L9" s="57" t="s">
        <v>218</v>
      </c>
      <c r="M9" s="58"/>
      <c r="N9" s="58"/>
      <c r="O9" s="58"/>
    </row>
    <row r="10" spans="1:15" s="163" customFormat="1" ht="54.75" customHeight="1">
      <c r="A10" s="171" t="s">
        <v>15</v>
      </c>
      <c r="B10" s="393" t="s">
        <v>601</v>
      </c>
      <c r="C10" s="395" t="s">
        <v>222</v>
      </c>
      <c r="D10" s="396">
        <v>230</v>
      </c>
      <c r="E10" s="397" t="s">
        <v>220</v>
      </c>
      <c r="F10" s="398">
        <v>17709469.079999998</v>
      </c>
      <c r="G10" s="172">
        <v>230</v>
      </c>
      <c r="H10" s="167" t="s">
        <v>220</v>
      </c>
      <c r="I10" s="167">
        <v>14371216.810000001</v>
      </c>
      <c r="J10" s="172">
        <v>230</v>
      </c>
      <c r="K10" s="167" t="s">
        <v>220</v>
      </c>
      <c r="L10" s="167">
        <v>12448407.32</v>
      </c>
      <c r="M10" s="178" t="s">
        <v>477</v>
      </c>
    </row>
    <row r="11" spans="1:15" s="163" customFormat="1" ht="55.5" customHeight="1">
      <c r="A11" s="171" t="s">
        <v>16</v>
      </c>
      <c r="B11" s="393" t="s">
        <v>602</v>
      </c>
      <c r="C11" s="395" t="s">
        <v>222</v>
      </c>
      <c r="D11" s="396">
        <v>147</v>
      </c>
      <c r="E11" s="397" t="s">
        <v>220</v>
      </c>
      <c r="F11" s="398">
        <v>12055738.26</v>
      </c>
      <c r="G11" s="172">
        <v>147</v>
      </c>
      <c r="H11" s="167" t="s">
        <v>220</v>
      </c>
      <c r="I11" s="167">
        <v>9705046.9199999999</v>
      </c>
      <c r="J11" s="172">
        <v>147</v>
      </c>
      <c r="K11" s="167" t="s">
        <v>220</v>
      </c>
      <c r="L11" s="167">
        <v>8790182.3699999992</v>
      </c>
      <c r="M11" s="178" t="s">
        <v>477</v>
      </c>
    </row>
    <row r="12" spans="1:15" s="163" customFormat="1" ht="66.75" customHeight="1">
      <c r="A12" s="171" t="s">
        <v>17</v>
      </c>
      <c r="B12" s="393" t="s">
        <v>606</v>
      </c>
      <c r="C12" s="399" t="s">
        <v>222</v>
      </c>
      <c r="D12" s="396">
        <v>14</v>
      </c>
      <c r="E12" s="397" t="s">
        <v>220</v>
      </c>
      <c r="F12" s="398">
        <v>1302427.43</v>
      </c>
      <c r="G12" s="172">
        <v>14</v>
      </c>
      <c r="H12" s="167" t="s">
        <v>220</v>
      </c>
      <c r="I12" s="167">
        <v>1078053.18</v>
      </c>
      <c r="J12" s="172">
        <v>14</v>
      </c>
      <c r="K12" s="167" t="s">
        <v>220</v>
      </c>
      <c r="L12" s="167">
        <v>968772.36</v>
      </c>
      <c r="M12" s="178" t="s">
        <v>477</v>
      </c>
    </row>
    <row r="13" spans="1:15" s="163" customFormat="1" ht="74.25" customHeight="1">
      <c r="A13" s="171" t="s">
        <v>18</v>
      </c>
      <c r="B13" s="393" t="s">
        <v>607</v>
      </c>
      <c r="C13" s="400" t="s">
        <v>596</v>
      </c>
      <c r="D13" s="396">
        <v>12</v>
      </c>
      <c r="E13" s="397" t="s">
        <v>220</v>
      </c>
      <c r="F13" s="398">
        <v>1269853.54</v>
      </c>
      <c r="G13" s="173">
        <v>12</v>
      </c>
      <c r="H13" s="167" t="s">
        <v>220</v>
      </c>
      <c r="I13" s="167">
        <v>1038608.04</v>
      </c>
      <c r="J13" s="173">
        <v>12</v>
      </c>
      <c r="K13" s="167" t="s">
        <v>220</v>
      </c>
      <c r="L13" s="167">
        <v>948596.84</v>
      </c>
      <c r="M13" s="178" t="s">
        <v>477</v>
      </c>
    </row>
    <row r="14" spans="1:15" s="163" customFormat="1" ht="59.25" customHeight="1">
      <c r="A14" s="171" t="s">
        <v>19</v>
      </c>
      <c r="B14" s="393" t="s">
        <v>608</v>
      </c>
      <c r="C14" s="401" t="s">
        <v>597</v>
      </c>
      <c r="D14" s="396">
        <v>6</v>
      </c>
      <c r="E14" s="397" t="s">
        <v>220</v>
      </c>
      <c r="F14" s="398">
        <v>2230547.09</v>
      </c>
      <c r="G14" s="173">
        <v>6</v>
      </c>
      <c r="H14" s="285" t="s">
        <v>220</v>
      </c>
      <c r="I14" s="285">
        <v>1747510.27</v>
      </c>
      <c r="J14" s="173">
        <v>6</v>
      </c>
      <c r="K14" s="285" t="s">
        <v>220</v>
      </c>
      <c r="L14" s="285">
        <v>1641568.11</v>
      </c>
      <c r="M14" s="178"/>
    </row>
    <row r="15" spans="1:15" s="163" customFormat="1" ht="56.25" customHeight="1">
      <c r="A15" s="171" t="s">
        <v>20</v>
      </c>
      <c r="B15" s="393" t="s">
        <v>603</v>
      </c>
      <c r="C15" s="401" t="s">
        <v>597</v>
      </c>
      <c r="D15" s="396">
        <v>0</v>
      </c>
      <c r="E15" s="397"/>
      <c r="F15" s="398">
        <v>0</v>
      </c>
      <c r="G15" s="169">
        <v>1</v>
      </c>
      <c r="H15" s="167"/>
      <c r="I15" s="167">
        <v>604629.80000000005</v>
      </c>
      <c r="J15" s="169">
        <v>0</v>
      </c>
      <c r="K15" s="167"/>
      <c r="L15" s="167">
        <v>0</v>
      </c>
      <c r="M15" s="178"/>
      <c r="N15" s="178" t="s">
        <v>478</v>
      </c>
      <c r="O15" s="175"/>
    </row>
    <row r="16" spans="1:15" s="163" customFormat="1" ht="57.75" customHeight="1">
      <c r="A16" s="171" t="s">
        <v>21</v>
      </c>
      <c r="B16" s="393" t="s">
        <v>604</v>
      </c>
      <c r="C16" s="401" t="s">
        <v>597</v>
      </c>
      <c r="D16" s="396">
        <v>20</v>
      </c>
      <c r="E16" s="397"/>
      <c r="F16" s="398">
        <v>587384.48</v>
      </c>
      <c r="G16" s="169">
        <v>20</v>
      </c>
      <c r="H16" s="167"/>
      <c r="I16" s="167">
        <v>266664.08</v>
      </c>
      <c r="J16" s="169">
        <v>20</v>
      </c>
      <c r="K16" s="167"/>
      <c r="L16" s="167">
        <v>397859.09</v>
      </c>
      <c r="M16" s="178"/>
      <c r="N16" s="178" t="s">
        <v>478</v>
      </c>
      <c r="O16" s="175"/>
    </row>
    <row r="17" spans="1:15" s="163" customFormat="1" ht="54" customHeight="1">
      <c r="A17" s="171" t="s">
        <v>22</v>
      </c>
      <c r="B17" s="393" t="s">
        <v>605</v>
      </c>
      <c r="C17" s="401" t="s">
        <v>598</v>
      </c>
      <c r="D17" s="396">
        <v>200</v>
      </c>
      <c r="E17" s="397"/>
      <c r="F17" s="398">
        <v>558206.39</v>
      </c>
      <c r="G17" s="169">
        <v>200</v>
      </c>
      <c r="H17" s="167"/>
      <c r="I17" s="167">
        <v>511031.73</v>
      </c>
      <c r="J17" s="169">
        <v>200</v>
      </c>
      <c r="K17" s="167"/>
      <c r="L17" s="167">
        <v>399950.62</v>
      </c>
      <c r="M17" s="178"/>
      <c r="N17" s="178" t="s">
        <v>478</v>
      </c>
      <c r="O17" s="175"/>
    </row>
    <row r="18" spans="1:15" s="163" customFormat="1" ht="57" customHeight="1">
      <c r="A18" s="171" t="s">
        <v>117</v>
      </c>
      <c r="B18" s="393" t="s">
        <v>609</v>
      </c>
      <c r="C18" s="401" t="s">
        <v>599</v>
      </c>
      <c r="D18" s="396">
        <v>4</v>
      </c>
      <c r="E18" s="397"/>
      <c r="F18" s="398">
        <v>28673778.43</v>
      </c>
      <c r="G18" s="169">
        <v>4</v>
      </c>
      <c r="H18" s="167"/>
      <c r="I18" s="167">
        <v>21863742.120000001</v>
      </c>
      <c r="J18" s="169">
        <v>4</v>
      </c>
      <c r="K18" s="167"/>
      <c r="L18" s="167">
        <v>20754414.370000001</v>
      </c>
      <c r="M18" s="178"/>
      <c r="N18" s="178" t="s">
        <v>478</v>
      </c>
      <c r="O18" s="175"/>
    </row>
    <row r="19" spans="1:15" s="163" customFormat="1" ht="25.5">
      <c r="A19" s="171" t="s">
        <v>558</v>
      </c>
      <c r="B19" s="394" t="s">
        <v>595</v>
      </c>
      <c r="C19" s="401" t="s">
        <v>51</v>
      </c>
      <c r="D19" s="396" t="s">
        <v>51</v>
      </c>
      <c r="E19" s="397" t="s">
        <v>220</v>
      </c>
      <c r="F19" s="398">
        <v>0</v>
      </c>
      <c r="G19" s="170" t="s">
        <v>51</v>
      </c>
      <c r="H19" s="179" t="s">
        <v>220</v>
      </c>
      <c r="I19" s="179">
        <v>0</v>
      </c>
      <c r="J19" s="170" t="s">
        <v>51</v>
      </c>
      <c r="K19" s="167" t="s">
        <v>220</v>
      </c>
      <c r="L19" s="167">
        <v>0</v>
      </c>
      <c r="M19" s="178"/>
      <c r="N19" s="178" t="s">
        <v>478</v>
      </c>
      <c r="O19" s="175"/>
    </row>
    <row r="20" spans="1:15" s="163" customFormat="1">
      <c r="A20" s="176"/>
      <c r="B20" s="177" t="s">
        <v>224</v>
      </c>
      <c r="C20" s="404" t="s">
        <v>25</v>
      </c>
      <c r="D20" s="404" t="s">
        <v>25</v>
      </c>
      <c r="E20" s="404" t="s">
        <v>25</v>
      </c>
      <c r="F20" s="402">
        <f>SUM(F10:F19)</f>
        <v>64387404.700000003</v>
      </c>
      <c r="G20" s="404" t="s">
        <v>25</v>
      </c>
      <c r="H20" s="404" t="s">
        <v>25</v>
      </c>
      <c r="I20" s="402">
        <f>SUM(I10:I19)</f>
        <v>51186502.950000003</v>
      </c>
      <c r="J20" s="404" t="s">
        <v>25</v>
      </c>
      <c r="K20" s="405" t="s">
        <v>25</v>
      </c>
      <c r="L20" s="403">
        <f>SUM(L10:L19)</f>
        <v>46349751.079999998</v>
      </c>
    </row>
    <row r="21" spans="1:15" ht="17.25">
      <c r="A21" s="59"/>
    </row>
    <row r="22" spans="1:15" ht="15.75">
      <c r="A22" s="1039" t="s">
        <v>225</v>
      </c>
      <c r="B22" s="1039"/>
      <c r="C22" s="1039"/>
      <c r="D22" s="1039"/>
      <c r="E22" s="1039"/>
      <c r="F22" s="1039"/>
      <c r="G22" s="1039"/>
      <c r="H22" s="1039"/>
      <c r="I22" s="1039"/>
      <c r="J22" s="1039"/>
      <c r="K22" s="1039"/>
      <c r="L22" s="1039"/>
    </row>
    <row r="23" spans="1:15" ht="15.75">
      <c r="A23" s="55" t="s">
        <v>481</v>
      </c>
      <c r="B23" s="55"/>
      <c r="C23" s="55"/>
      <c r="D23" s="55"/>
      <c r="E23" s="55"/>
      <c r="F23" s="55"/>
      <c r="G23" s="55"/>
      <c r="H23" s="55"/>
      <c r="I23" s="55"/>
      <c r="J23" s="55"/>
      <c r="K23" s="55"/>
      <c r="L23" s="55"/>
    </row>
    <row r="24" spans="1:15" ht="15.75">
      <c r="A24" s="2"/>
      <c r="B24" s="2"/>
      <c r="C24" s="2"/>
      <c r="D24" s="2"/>
      <c r="E24" s="2"/>
      <c r="F24" s="2"/>
      <c r="G24" s="2"/>
      <c r="H24" s="2"/>
      <c r="I24" s="2"/>
      <c r="J24" s="2"/>
      <c r="K24" s="2"/>
      <c r="L24" s="2"/>
    </row>
    <row r="25" spans="1:15" ht="15" customHeight="1">
      <c r="A25" s="1046" t="s">
        <v>210</v>
      </c>
      <c r="B25" s="1046" t="s">
        <v>211</v>
      </c>
      <c r="C25" s="1046" t="s">
        <v>212</v>
      </c>
      <c r="D25" s="1047" t="s">
        <v>559</v>
      </c>
      <c r="E25" s="1048"/>
      <c r="F25" s="1049"/>
      <c r="G25" s="1047" t="s">
        <v>560</v>
      </c>
      <c r="H25" s="1048"/>
      <c r="I25" s="1049"/>
      <c r="J25" s="1047" t="s">
        <v>561</v>
      </c>
      <c r="K25" s="1048"/>
      <c r="L25" s="1049"/>
    </row>
    <row r="26" spans="1:15" ht="63.75">
      <c r="A26" s="1046"/>
      <c r="B26" s="1046"/>
      <c r="C26" s="1046"/>
      <c r="D26" s="57" t="s">
        <v>216</v>
      </c>
      <c r="E26" s="57" t="s">
        <v>217</v>
      </c>
      <c r="F26" s="57" t="s">
        <v>218</v>
      </c>
      <c r="G26" s="57" t="s">
        <v>216</v>
      </c>
      <c r="H26" s="57" t="s">
        <v>217</v>
      </c>
      <c r="I26" s="57" t="s">
        <v>218</v>
      </c>
      <c r="J26" s="57" t="s">
        <v>216</v>
      </c>
      <c r="K26" s="57" t="s">
        <v>217</v>
      </c>
      <c r="L26" s="57" t="s">
        <v>218</v>
      </c>
    </row>
    <row r="27" spans="1:15" s="163" customFormat="1" ht="51">
      <c r="A27" s="165" t="s">
        <v>219</v>
      </c>
      <c r="B27" s="168" t="s">
        <v>601</v>
      </c>
      <c r="C27" s="165" t="s">
        <v>222</v>
      </c>
      <c r="D27" s="169">
        <v>230</v>
      </c>
      <c r="E27" s="167">
        <v>281.25</v>
      </c>
      <c r="F27" s="167">
        <v>9208000</v>
      </c>
      <c r="G27" s="169">
        <v>230</v>
      </c>
      <c r="H27" s="167">
        <v>281.25</v>
      </c>
      <c r="I27" s="167">
        <v>9208000</v>
      </c>
      <c r="J27" s="169">
        <v>230</v>
      </c>
      <c r="K27" s="167">
        <v>281.25</v>
      </c>
      <c r="L27" s="167">
        <v>9208000</v>
      </c>
    </row>
    <row r="28" spans="1:15" s="163" customFormat="1" ht="51">
      <c r="A28" s="171" t="s">
        <v>221</v>
      </c>
      <c r="B28" s="168" t="s">
        <v>602</v>
      </c>
      <c r="C28" s="165" t="s">
        <v>222</v>
      </c>
      <c r="D28" s="172">
        <v>147</v>
      </c>
      <c r="E28" s="167">
        <v>344.94</v>
      </c>
      <c r="F28" s="167">
        <v>1942000</v>
      </c>
      <c r="G28" s="172">
        <v>147</v>
      </c>
      <c r="H28" s="167">
        <v>344.94</v>
      </c>
      <c r="I28" s="167">
        <v>1942000</v>
      </c>
      <c r="J28" s="172">
        <v>147</v>
      </c>
      <c r="K28" s="167">
        <v>344.94</v>
      </c>
      <c r="L28" s="167">
        <v>1942000</v>
      </c>
    </row>
    <row r="29" spans="1:15" s="163" customFormat="1" ht="51">
      <c r="A29" s="171" t="s">
        <v>223</v>
      </c>
      <c r="B29" s="168" t="s">
        <v>603</v>
      </c>
      <c r="C29" s="165" t="s">
        <v>597</v>
      </c>
      <c r="D29" s="173">
        <v>0</v>
      </c>
      <c r="E29" s="167">
        <v>0</v>
      </c>
      <c r="F29" s="174">
        <v>0</v>
      </c>
      <c r="G29" s="173">
        <v>1</v>
      </c>
      <c r="H29" s="167">
        <v>0</v>
      </c>
      <c r="I29" s="174">
        <v>135000</v>
      </c>
      <c r="J29" s="173">
        <v>0</v>
      </c>
      <c r="K29" s="167">
        <v>0</v>
      </c>
      <c r="L29" s="174">
        <v>0</v>
      </c>
    </row>
    <row r="30" spans="1:15" s="163" customFormat="1" ht="51">
      <c r="A30" s="171" t="s">
        <v>226</v>
      </c>
      <c r="B30" s="168" t="s">
        <v>604</v>
      </c>
      <c r="C30" s="165" t="s">
        <v>597</v>
      </c>
      <c r="D30" s="173">
        <v>20</v>
      </c>
      <c r="E30" s="167">
        <v>250</v>
      </c>
      <c r="F30" s="174">
        <v>250000</v>
      </c>
      <c r="G30" s="173">
        <v>20</v>
      </c>
      <c r="H30" s="167">
        <v>250</v>
      </c>
      <c r="I30" s="174">
        <v>115000</v>
      </c>
      <c r="J30" s="173">
        <v>20</v>
      </c>
      <c r="K30" s="167">
        <v>250</v>
      </c>
      <c r="L30" s="174">
        <v>250000</v>
      </c>
    </row>
    <row r="31" spans="1:15" s="163" customFormat="1" ht="51">
      <c r="A31" s="171" t="s">
        <v>610</v>
      </c>
      <c r="B31" s="372" t="s">
        <v>605</v>
      </c>
      <c r="C31" s="165" t="s">
        <v>600</v>
      </c>
      <c r="D31" s="173">
        <v>200</v>
      </c>
      <c r="E31" s="174">
        <v>450</v>
      </c>
      <c r="F31" s="174">
        <v>90000</v>
      </c>
      <c r="G31" s="173">
        <v>200</v>
      </c>
      <c r="H31" s="174">
        <v>450</v>
      </c>
      <c r="I31" s="174">
        <v>90000</v>
      </c>
      <c r="J31" s="173">
        <v>200</v>
      </c>
      <c r="K31" s="174">
        <v>450</v>
      </c>
      <c r="L31" s="174">
        <v>90000</v>
      </c>
    </row>
    <row r="32" spans="1:15" s="163" customFormat="1" ht="24" customHeight="1">
      <c r="A32" s="176"/>
      <c r="B32" s="180" t="s">
        <v>224</v>
      </c>
      <c r="C32" s="406" t="s">
        <v>25</v>
      </c>
      <c r="D32" s="407" t="s">
        <v>25</v>
      </c>
      <c r="E32" s="407" t="s">
        <v>25</v>
      </c>
      <c r="F32" s="181">
        <f>SUM(F27:F31)</f>
        <v>11490000</v>
      </c>
      <c r="G32" s="407" t="s">
        <v>25</v>
      </c>
      <c r="H32" s="407" t="s">
        <v>25</v>
      </c>
      <c r="I32" s="181">
        <f>SUM(I27:I31)</f>
        <v>11490000</v>
      </c>
      <c r="J32" s="407" t="s">
        <v>25</v>
      </c>
      <c r="K32" s="407" t="s">
        <v>25</v>
      </c>
      <c r="L32" s="181">
        <f>SUM(L27:L31)</f>
        <v>11490000</v>
      </c>
    </row>
    <row r="33" spans="1:15" ht="15.75">
      <c r="A33" s="60"/>
    </row>
    <row r="34" spans="1:15" ht="15.75" hidden="1">
      <c r="A34" s="1038" t="s">
        <v>227</v>
      </c>
      <c r="B34" s="1038"/>
      <c r="C34" s="1038"/>
      <c r="D34" s="1038"/>
      <c r="E34" s="1038"/>
      <c r="F34" s="1038"/>
      <c r="G34" s="1038"/>
      <c r="H34" s="1038"/>
      <c r="I34" s="1038"/>
      <c r="J34" s="1038"/>
      <c r="K34" s="1038"/>
      <c r="L34" s="1038"/>
    </row>
    <row r="35" spans="1:15" ht="15.75" hidden="1">
      <c r="A35" s="1039" t="s">
        <v>209</v>
      </c>
      <c r="B35" s="1039"/>
      <c r="C35" s="1039"/>
      <c r="D35" s="1039"/>
      <c r="E35" s="1039"/>
      <c r="F35" s="1039"/>
      <c r="G35" s="1039"/>
      <c r="H35" s="1039"/>
      <c r="I35" s="1039"/>
      <c r="J35" s="1039"/>
      <c r="K35" s="1039"/>
      <c r="L35" s="1039"/>
    </row>
    <row r="36" spans="1:15" ht="15.75" hidden="1">
      <c r="A36" s="55" t="s">
        <v>481</v>
      </c>
      <c r="B36" s="55"/>
      <c r="C36" s="55"/>
      <c r="D36" s="55"/>
      <c r="E36" s="55"/>
      <c r="F36" s="55"/>
      <c r="G36" s="55"/>
      <c r="H36" s="55"/>
      <c r="I36" s="55"/>
      <c r="J36" s="55"/>
      <c r="K36" s="55"/>
      <c r="L36" s="55"/>
    </row>
    <row r="37" spans="1:15" ht="9.75" hidden="1" customHeight="1">
      <c r="A37" s="61"/>
      <c r="B37" s="62"/>
      <c r="C37" s="63"/>
      <c r="D37" s="64"/>
      <c r="E37" s="65"/>
      <c r="F37" s="65"/>
      <c r="G37" s="64"/>
      <c r="H37" s="65"/>
      <c r="I37" s="65"/>
      <c r="J37" s="64"/>
      <c r="K37" s="65"/>
      <c r="L37" s="65"/>
    </row>
    <row r="38" spans="1:15" ht="37.5" hidden="1" customHeight="1">
      <c r="A38" s="66" t="s">
        <v>210</v>
      </c>
      <c r="B38" s="1051" t="s">
        <v>228</v>
      </c>
      <c r="C38" s="1051"/>
      <c r="D38" s="1051"/>
      <c r="E38" s="1051"/>
      <c r="F38" s="270" t="s">
        <v>212</v>
      </c>
      <c r="G38" s="1044" t="s">
        <v>565</v>
      </c>
      <c r="H38" s="1044"/>
      <c r="I38" s="1044" t="s">
        <v>566</v>
      </c>
      <c r="J38" s="1044"/>
      <c r="K38" s="1044" t="s">
        <v>567</v>
      </c>
      <c r="L38" s="1044"/>
    </row>
    <row r="39" spans="1:15" s="163" customFormat="1" ht="27.75" hidden="1" customHeight="1">
      <c r="A39" s="162" t="s">
        <v>219</v>
      </c>
      <c r="B39" s="1042" t="s">
        <v>538</v>
      </c>
      <c r="C39" s="1042"/>
      <c r="D39" s="1042"/>
      <c r="E39" s="1042"/>
      <c r="F39" s="165" t="s">
        <v>229</v>
      </c>
      <c r="G39" s="1045">
        <v>200936.22</v>
      </c>
      <c r="H39" s="1045"/>
      <c r="I39" s="1045">
        <v>81611.22</v>
      </c>
      <c r="J39" s="1045"/>
      <c r="K39" s="1045">
        <v>81611.22</v>
      </c>
      <c r="L39" s="1045"/>
    </row>
    <row r="40" spans="1:15" s="163" customFormat="1" ht="16.5" hidden="1" customHeight="1">
      <c r="A40" s="162" t="s">
        <v>16</v>
      </c>
      <c r="B40" s="1042" t="s">
        <v>539</v>
      </c>
      <c r="C40" s="1042"/>
      <c r="D40" s="1042"/>
      <c r="E40" s="1042"/>
      <c r="F40" s="165" t="s">
        <v>229</v>
      </c>
      <c r="G40" s="1041">
        <f>1196105.26</f>
        <v>1196105.26</v>
      </c>
      <c r="H40" s="1041"/>
      <c r="I40" s="1041">
        <v>0</v>
      </c>
      <c r="J40" s="1041"/>
      <c r="K40" s="1041">
        <v>0</v>
      </c>
      <c r="L40" s="1041"/>
      <c r="M40" s="166"/>
    </row>
    <row r="41" spans="1:15" hidden="1">
      <c r="A41" s="67"/>
      <c r="B41" s="1043" t="s">
        <v>224</v>
      </c>
      <c r="C41" s="1043"/>
      <c r="D41" s="1043"/>
      <c r="E41" s="1043"/>
      <c r="F41" s="68"/>
      <c r="G41" s="1041">
        <f>SUM(E39:G40)</f>
        <v>1397041.48</v>
      </c>
      <c r="H41" s="1041"/>
      <c r="I41" s="1041">
        <f>SUM(H39:I40)</f>
        <v>81611.22</v>
      </c>
      <c r="J41" s="1041"/>
      <c r="K41" s="1041">
        <f>SUM(K39:L40)</f>
        <v>81611.22</v>
      </c>
      <c r="L41" s="1041"/>
    </row>
    <row r="42" spans="1:15" hidden="1">
      <c r="A42" s="69"/>
      <c r="B42" s="70"/>
      <c r="C42" s="71"/>
      <c r="D42" s="65"/>
      <c r="E42" s="65"/>
      <c r="F42" s="65"/>
      <c r="G42" s="65"/>
      <c r="H42" s="65"/>
      <c r="I42" s="65"/>
      <c r="J42" s="65"/>
      <c r="K42" s="65"/>
      <c r="L42" s="65"/>
    </row>
    <row r="43" spans="1:15" ht="15.75" hidden="1">
      <c r="A43" s="300" t="s">
        <v>230</v>
      </c>
      <c r="B43" s="301"/>
      <c r="C43" s="301"/>
      <c r="D43" s="301"/>
      <c r="E43" s="301"/>
      <c r="F43" s="301"/>
      <c r="G43" s="301"/>
      <c r="H43" s="301"/>
      <c r="I43" s="301"/>
      <c r="J43" s="301"/>
      <c r="K43" s="301"/>
      <c r="L43" s="301"/>
    </row>
    <row r="44" spans="1:15" ht="15.75" hidden="1">
      <c r="A44" s="1040" t="s">
        <v>480</v>
      </c>
      <c r="B44" s="1040"/>
      <c r="C44" s="1040"/>
      <c r="D44" s="1040"/>
      <c r="E44" s="1040"/>
      <c r="F44" s="1040"/>
      <c r="G44" s="1040"/>
      <c r="H44" s="1040"/>
      <c r="I44" s="1040"/>
      <c r="J44" s="1040"/>
      <c r="K44" s="1040"/>
      <c r="L44" s="1040"/>
    </row>
    <row r="45" spans="1:15" ht="15.75" hidden="1">
      <c r="A45" s="302" t="s">
        <v>482</v>
      </c>
      <c r="B45" s="302"/>
      <c r="C45" s="302"/>
      <c r="D45" s="302"/>
      <c r="E45" s="302"/>
      <c r="F45" s="302"/>
      <c r="G45" s="302"/>
      <c r="H45" s="302"/>
      <c r="I45" s="302"/>
      <c r="J45" s="302"/>
      <c r="K45" s="302"/>
      <c r="L45" s="302"/>
    </row>
    <row r="46" spans="1:15" ht="9.75" hidden="1" customHeight="1">
      <c r="A46" s="303"/>
      <c r="B46" s="304"/>
      <c r="C46" s="305"/>
      <c r="D46" s="306"/>
      <c r="E46" s="307"/>
      <c r="F46" s="307"/>
      <c r="G46" s="306"/>
      <c r="H46" s="307"/>
      <c r="I46" s="307"/>
      <c r="J46" s="306"/>
      <c r="K46" s="307"/>
      <c r="L46" s="307"/>
    </row>
    <row r="47" spans="1:15" ht="25.5" hidden="1">
      <c r="A47" s="308" t="s">
        <v>176</v>
      </c>
      <c r="B47" s="1056" t="s">
        <v>231</v>
      </c>
      <c r="C47" s="1056"/>
      <c r="D47" s="1056"/>
      <c r="E47" s="1056"/>
      <c r="F47" s="308" t="s">
        <v>232</v>
      </c>
      <c r="G47" s="1056" t="s">
        <v>563</v>
      </c>
      <c r="H47" s="1056"/>
      <c r="I47" s="1056" t="s">
        <v>562</v>
      </c>
      <c r="J47" s="1056"/>
      <c r="K47" s="1056" t="s">
        <v>564</v>
      </c>
      <c r="L47" s="1056"/>
    </row>
    <row r="48" spans="1:15" s="163" customFormat="1" ht="27.75" hidden="1" customHeight="1">
      <c r="A48" s="309" t="s">
        <v>219</v>
      </c>
      <c r="B48" s="1057" t="s">
        <v>233</v>
      </c>
      <c r="C48" s="1057"/>
      <c r="D48" s="1057"/>
      <c r="E48" s="1057"/>
      <c r="F48" s="310" t="s">
        <v>51</v>
      </c>
      <c r="G48" s="1058">
        <v>0</v>
      </c>
      <c r="H48" s="1058"/>
      <c r="I48" s="1058">
        <v>0</v>
      </c>
      <c r="J48" s="1058"/>
      <c r="K48" s="1056">
        <v>0</v>
      </c>
      <c r="L48" s="1056"/>
      <c r="M48" s="164"/>
      <c r="N48" s="164"/>
      <c r="O48" s="164"/>
    </row>
    <row r="49" spans="1:12" hidden="1">
      <c r="A49" s="72"/>
    </row>
    <row r="50" spans="1:12" ht="15.75" hidden="1">
      <c r="A50" s="54" t="s">
        <v>234</v>
      </c>
    </row>
    <row r="51" spans="1:12" ht="15.75" hidden="1">
      <c r="A51" s="55" t="s">
        <v>481</v>
      </c>
      <c r="B51" s="55"/>
      <c r="C51" s="55"/>
      <c r="D51" s="55"/>
      <c r="E51" s="55"/>
      <c r="F51" s="55"/>
      <c r="G51" s="55"/>
      <c r="H51" s="55"/>
      <c r="I51" s="55"/>
      <c r="J51" s="55"/>
      <c r="K51" s="55"/>
      <c r="L51" s="55"/>
    </row>
    <row r="52" spans="1:12" ht="5.25" hidden="1" customHeight="1"/>
    <row r="53" spans="1:12" ht="25.5" hidden="1" customHeight="1">
      <c r="A53" s="73" t="s">
        <v>176</v>
      </c>
      <c r="B53" s="1046" t="s">
        <v>231</v>
      </c>
      <c r="C53" s="1046"/>
      <c r="D53" s="1046"/>
      <c r="E53" s="1046"/>
      <c r="F53" s="269" t="s">
        <v>232</v>
      </c>
      <c r="G53" s="1052" t="s">
        <v>563</v>
      </c>
      <c r="H53" s="1053"/>
      <c r="I53" s="1052" t="s">
        <v>562</v>
      </c>
      <c r="J53" s="1053"/>
      <c r="K53" s="1052" t="s">
        <v>564</v>
      </c>
      <c r="L53" s="1053"/>
    </row>
    <row r="54" spans="1:12" ht="30.75" hidden="1" customHeight="1">
      <c r="A54" s="73" t="s">
        <v>219</v>
      </c>
      <c r="B54" s="1055" t="s">
        <v>234</v>
      </c>
      <c r="C54" s="1055"/>
      <c r="D54" s="1055"/>
      <c r="E54" s="1055"/>
      <c r="F54" s="73" t="s">
        <v>51</v>
      </c>
      <c r="G54" s="1054">
        <v>0</v>
      </c>
      <c r="H54" s="1054"/>
      <c r="I54" s="1054">
        <v>0</v>
      </c>
      <c r="J54" s="1054"/>
      <c r="K54" s="1054">
        <v>0</v>
      </c>
      <c r="L54" s="1054"/>
    </row>
    <row r="55" spans="1:12" ht="20.25" hidden="1">
      <c r="C55" s="16"/>
      <c r="D55" s="16"/>
      <c r="E55" s="16"/>
      <c r="F55" s="16"/>
      <c r="H55" s="16"/>
      <c r="I55" s="16"/>
    </row>
    <row r="56" spans="1:12" ht="15.75" hidden="1">
      <c r="A56" s="55" t="s">
        <v>482</v>
      </c>
      <c r="B56" s="55"/>
      <c r="C56" s="55"/>
      <c r="D56" s="55"/>
      <c r="E56" s="55"/>
      <c r="F56" s="55"/>
      <c r="G56" s="55"/>
      <c r="H56" s="55"/>
      <c r="I56" s="55"/>
      <c r="J56" s="55"/>
      <c r="K56" s="55"/>
      <c r="L56" s="55"/>
    </row>
    <row r="57" spans="1:12" ht="5.25" hidden="1" customHeight="1"/>
    <row r="58" spans="1:12" ht="40.5" hidden="1" customHeight="1">
      <c r="A58" s="73" t="s">
        <v>176</v>
      </c>
      <c r="B58" s="1046" t="s">
        <v>231</v>
      </c>
      <c r="C58" s="1046"/>
      <c r="D58" s="1046"/>
      <c r="E58" s="1046"/>
      <c r="F58" s="269" t="s">
        <v>232</v>
      </c>
      <c r="G58" s="1052" t="s">
        <v>563</v>
      </c>
      <c r="H58" s="1053"/>
      <c r="I58" s="1052" t="s">
        <v>562</v>
      </c>
      <c r="J58" s="1053"/>
      <c r="K58" s="1052" t="s">
        <v>564</v>
      </c>
      <c r="L58" s="1053"/>
    </row>
    <row r="59" spans="1:12" ht="30" hidden="1" customHeight="1">
      <c r="A59" s="73" t="s">
        <v>219</v>
      </c>
      <c r="B59" s="1055" t="s">
        <v>234</v>
      </c>
      <c r="C59" s="1055"/>
      <c r="D59" s="1055"/>
      <c r="E59" s="1055"/>
      <c r="F59" s="73" t="s">
        <v>51</v>
      </c>
      <c r="G59" s="1054">
        <v>0</v>
      </c>
      <c r="H59" s="1054"/>
      <c r="I59" s="1054">
        <v>0</v>
      </c>
      <c r="J59" s="1054"/>
      <c r="K59" s="1054">
        <v>0</v>
      </c>
      <c r="L59" s="1054"/>
    </row>
    <row r="61" spans="1:12" ht="20.25">
      <c r="B61" s="16" t="s">
        <v>103</v>
      </c>
      <c r="G61" s="16" t="s">
        <v>104</v>
      </c>
    </row>
    <row r="64" spans="1:12">
      <c r="G64" s="265">
        <f>G41+F20</f>
        <v>65784446.18</v>
      </c>
      <c r="I64" s="265">
        <f>I41+I20</f>
        <v>51268114.170000002</v>
      </c>
      <c r="K64" s="265">
        <f>L20+K41</f>
        <v>46431362.299999997</v>
      </c>
    </row>
    <row r="276" spans="6:7">
      <c r="F276" s="265"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177</f>
        <v>#REF!</v>
      </c>
      <c r="G276" s="265"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60">
    <mergeCell ref="K39:L39"/>
    <mergeCell ref="B38:E38"/>
    <mergeCell ref="B39:E39"/>
    <mergeCell ref="K53:L53"/>
    <mergeCell ref="K54:L54"/>
    <mergeCell ref="B47:E47"/>
    <mergeCell ref="B48:E48"/>
    <mergeCell ref="G47:H47"/>
    <mergeCell ref="I47:J47"/>
    <mergeCell ref="K47:L47"/>
    <mergeCell ref="G48:H48"/>
    <mergeCell ref="I48:J48"/>
    <mergeCell ref="K48:L48"/>
    <mergeCell ref="K58:L58"/>
    <mergeCell ref="K59:L59"/>
    <mergeCell ref="B53:E53"/>
    <mergeCell ref="B54:E54"/>
    <mergeCell ref="G53:H53"/>
    <mergeCell ref="G54:H54"/>
    <mergeCell ref="I53:J53"/>
    <mergeCell ref="I54:J54"/>
    <mergeCell ref="B58:E58"/>
    <mergeCell ref="B59:E59"/>
    <mergeCell ref="G58:H58"/>
    <mergeCell ref="G59:H59"/>
    <mergeCell ref="I58:J58"/>
    <mergeCell ref="I59:J59"/>
    <mergeCell ref="A1:L1"/>
    <mergeCell ref="A2:L2"/>
    <mergeCell ref="M2:O2"/>
    <mergeCell ref="A5:L5"/>
    <mergeCell ref="A8:A9"/>
    <mergeCell ref="B8:B9"/>
    <mergeCell ref="C8:C9"/>
    <mergeCell ref="D8:F8"/>
    <mergeCell ref="G8:I8"/>
    <mergeCell ref="J8:L8"/>
    <mergeCell ref="A22:L22"/>
    <mergeCell ref="A25:A26"/>
    <mergeCell ref="B25:B26"/>
    <mergeCell ref="C25:C26"/>
    <mergeCell ref="D25:F25"/>
    <mergeCell ref="G25:I25"/>
    <mergeCell ref="J25:L25"/>
    <mergeCell ref="A34:L34"/>
    <mergeCell ref="A35:L35"/>
    <mergeCell ref="A44:L44"/>
    <mergeCell ref="I40:J40"/>
    <mergeCell ref="K40:L40"/>
    <mergeCell ref="I41:J41"/>
    <mergeCell ref="K41:L41"/>
    <mergeCell ref="B40:E40"/>
    <mergeCell ref="B41:E41"/>
    <mergeCell ref="G38:H38"/>
    <mergeCell ref="G39:H39"/>
    <mergeCell ref="G40:H40"/>
    <mergeCell ref="G41:H41"/>
    <mergeCell ref="I38:J38"/>
    <mergeCell ref="K38:L38"/>
    <mergeCell ref="I39:J39"/>
  </mergeCells>
  <pageMargins left="0.78740157480314965" right="0.39370078740157483" top="0.39370078740157483" bottom="0.39370078740157483" header="0.31496062992125984" footer="0.31496062992125984"/>
  <pageSetup paperSize="9" scale="45"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3" tint="0.59999389629810485"/>
    <pageSetUpPr fitToPage="1"/>
  </sheetPr>
  <dimension ref="A1:P274"/>
  <sheetViews>
    <sheetView view="pageBreakPreview" zoomScale="80" zoomScaleNormal="85" zoomScaleSheetLayoutView="80" workbookViewId="0">
      <selection activeCell="Q43" sqref="Q43"/>
    </sheetView>
  </sheetViews>
  <sheetFormatPr defaultColWidth="9.140625" defaultRowHeight="12.75"/>
  <cols>
    <col min="1" max="1" width="9.140625" style="75" bestFit="1" customWidth="1"/>
    <col min="2" max="2" width="20.140625" style="75" bestFit="1" customWidth="1"/>
    <col min="3" max="3" width="14.7109375" style="75" customWidth="1"/>
    <col min="4" max="4" width="9.140625" style="75" bestFit="1"/>
    <col min="5" max="5" width="11" style="75" bestFit="1" customWidth="1"/>
    <col min="6" max="6" width="12.28515625" style="75" customWidth="1"/>
    <col min="7" max="7" width="12.7109375" style="75" bestFit="1" customWidth="1"/>
    <col min="8" max="8" width="9.140625" style="75" bestFit="1"/>
    <col min="9" max="9" width="14.42578125" style="75" customWidth="1"/>
    <col min="10" max="10" width="13.5703125" style="75" bestFit="1" customWidth="1"/>
    <col min="11" max="11" width="13.140625" style="75" bestFit="1" customWidth="1"/>
    <col min="12" max="13" width="9.140625" style="75" bestFit="1"/>
    <col min="14" max="14" width="12.5703125" style="75" bestFit="1" customWidth="1"/>
    <col min="15" max="15" width="9.140625" style="75" bestFit="1"/>
    <col min="16" max="16384" width="9.140625" style="75"/>
  </cols>
  <sheetData>
    <row r="1" spans="1:16" s="84" customFormat="1">
      <c r="A1" s="84" t="s">
        <v>240</v>
      </c>
    </row>
    <row r="2" spans="1:16" ht="5.25" customHeight="1"/>
    <row r="3" spans="1:16">
      <c r="A3" s="75" t="s">
        <v>241</v>
      </c>
    </row>
    <row r="4" spans="1:16">
      <c r="A4" s="75" t="s">
        <v>242</v>
      </c>
    </row>
    <row r="5" spans="1:16">
      <c r="A5" s="75" t="s">
        <v>249</v>
      </c>
    </row>
    <row r="6" spans="1:16" ht="25.5" customHeight="1">
      <c r="A6" s="1046" t="s">
        <v>176</v>
      </c>
      <c r="B6" s="1046" t="s">
        <v>244</v>
      </c>
      <c r="C6" s="1046" t="s">
        <v>618</v>
      </c>
      <c r="D6" s="1046"/>
      <c r="E6" s="1046"/>
      <c r="F6" s="1046"/>
      <c r="G6" s="1046" t="s">
        <v>619</v>
      </c>
      <c r="H6" s="1046"/>
      <c r="I6" s="1046"/>
      <c r="J6" s="1046"/>
      <c r="K6" s="1046" t="s">
        <v>620</v>
      </c>
      <c r="L6" s="1046"/>
      <c r="M6" s="1046"/>
      <c r="N6" s="1046"/>
    </row>
    <row r="7" spans="1:16" ht="79.5" customHeight="1">
      <c r="A7" s="1046"/>
      <c r="B7" s="1046"/>
      <c r="C7" s="57" t="s">
        <v>255</v>
      </c>
      <c r="D7" s="57" t="s">
        <v>256</v>
      </c>
      <c r="E7" s="57" t="s">
        <v>250</v>
      </c>
      <c r="F7" s="57" t="s">
        <v>247</v>
      </c>
      <c r="G7" s="57" t="s">
        <v>255</v>
      </c>
      <c r="H7" s="57" t="s">
        <v>256</v>
      </c>
      <c r="I7" s="57" t="s">
        <v>250</v>
      </c>
      <c r="J7" s="57" t="s">
        <v>247</v>
      </c>
      <c r="K7" s="57" t="s">
        <v>255</v>
      </c>
      <c r="L7" s="57" t="s">
        <v>256</v>
      </c>
      <c r="M7" s="57" t="s">
        <v>250</v>
      </c>
      <c r="N7" s="57" t="s">
        <v>247</v>
      </c>
    </row>
    <row r="8" spans="1:16" ht="51">
      <c r="A8" s="57">
        <v>1</v>
      </c>
      <c r="B8" s="81" t="s">
        <v>257</v>
      </c>
      <c r="C8" s="74">
        <f>F8/E8/D8</f>
        <v>2200</v>
      </c>
      <c r="D8" s="57">
        <v>6</v>
      </c>
      <c r="E8" s="57">
        <v>3</v>
      </c>
      <c r="F8" s="74">
        <v>39600</v>
      </c>
      <c r="G8" s="74">
        <v>2200</v>
      </c>
      <c r="H8" s="57">
        <v>6</v>
      </c>
      <c r="I8" s="57">
        <v>3</v>
      </c>
      <c r="J8" s="74">
        <f>G8*H8*I8</f>
        <v>39600</v>
      </c>
      <c r="K8" s="74">
        <v>2200</v>
      </c>
      <c r="L8" s="57">
        <v>6</v>
      </c>
      <c r="M8" s="57">
        <v>3</v>
      </c>
      <c r="N8" s="74">
        <f>K8*M8*L8</f>
        <v>39600</v>
      </c>
      <c r="O8" s="75" t="s">
        <v>555</v>
      </c>
    </row>
    <row r="9" spans="1:16">
      <c r="A9" s="90"/>
      <c r="B9" s="81" t="s">
        <v>254</v>
      </c>
      <c r="C9" s="57" t="s">
        <v>25</v>
      </c>
      <c r="D9" s="89">
        <f>D8</f>
        <v>6</v>
      </c>
      <c r="E9" s="89">
        <f>E8</f>
        <v>3</v>
      </c>
      <c r="F9" s="74">
        <f>F8</f>
        <v>39600</v>
      </c>
      <c r="G9" s="57" t="s">
        <v>25</v>
      </c>
      <c r="H9" s="89">
        <f>H8</f>
        <v>6</v>
      </c>
      <c r="I9" s="89">
        <f>I8</f>
        <v>3</v>
      </c>
      <c r="J9" s="74">
        <f>J8</f>
        <v>39600</v>
      </c>
      <c r="K9" s="57" t="s">
        <v>25</v>
      </c>
      <c r="L9" s="89">
        <f>L8</f>
        <v>6</v>
      </c>
      <c r="M9" s="89">
        <f>M8</f>
        <v>3</v>
      </c>
      <c r="N9" s="74">
        <f>N8</f>
        <v>39600</v>
      </c>
    </row>
    <row r="10" spans="1:16">
      <c r="A10" s="91"/>
      <c r="B10" s="82"/>
      <c r="C10" s="56"/>
      <c r="D10" s="92"/>
      <c r="E10" s="92"/>
      <c r="F10" s="83"/>
      <c r="G10" s="56"/>
      <c r="H10" s="92"/>
      <c r="I10" s="92"/>
      <c r="J10" s="83"/>
      <c r="K10" s="56"/>
      <c r="L10" s="92"/>
      <c r="M10" s="92"/>
      <c r="N10" s="83"/>
      <c r="P10" s="75" t="s">
        <v>258</v>
      </c>
    </row>
    <row r="11" spans="1:16" hidden="1">
      <c r="A11" s="75" t="s">
        <v>241</v>
      </c>
      <c r="B11" s="82"/>
      <c r="C11" s="83"/>
      <c r="D11" s="56"/>
      <c r="E11" s="56"/>
      <c r="F11" s="83"/>
      <c r="G11" s="83"/>
      <c r="H11" s="56"/>
      <c r="I11" s="56"/>
      <c r="J11" s="83"/>
      <c r="K11" s="83"/>
      <c r="L11" s="56"/>
      <c r="M11" s="56"/>
      <c r="N11" s="83"/>
    </row>
    <row r="12" spans="1:16" hidden="1">
      <c r="A12" s="75" t="s">
        <v>242</v>
      </c>
      <c r="B12" s="82"/>
      <c r="C12" s="83"/>
      <c r="D12" s="56"/>
      <c r="E12" s="56"/>
      <c r="F12" s="83"/>
      <c r="G12" s="83"/>
      <c r="H12" s="56"/>
      <c r="I12" s="56"/>
      <c r="J12" s="83"/>
      <c r="K12" s="83"/>
      <c r="L12" s="56"/>
      <c r="M12" s="56"/>
      <c r="N12" s="83"/>
    </row>
    <row r="13" spans="1:16" hidden="1">
      <c r="A13" s="75" t="s">
        <v>249</v>
      </c>
      <c r="B13" s="82"/>
      <c r="C13" s="83"/>
      <c r="D13" s="56"/>
      <c r="E13" s="56"/>
      <c r="F13" s="83"/>
      <c r="G13" s="83"/>
      <c r="H13" s="56"/>
      <c r="I13" s="56"/>
      <c r="J13" s="83"/>
      <c r="K13" s="83"/>
      <c r="L13" s="56"/>
      <c r="M13" s="56"/>
      <c r="N13" s="83"/>
    </row>
    <row r="14" spans="1:16" hidden="1">
      <c r="A14" s="1046" t="s">
        <v>176</v>
      </c>
      <c r="B14" s="1046" t="s">
        <v>244</v>
      </c>
      <c r="C14" s="1046" t="s">
        <v>213</v>
      </c>
      <c r="D14" s="1046"/>
      <c r="E14" s="1046"/>
      <c r="F14" s="1046"/>
      <c r="G14" s="1046" t="s">
        <v>214</v>
      </c>
      <c r="H14" s="1046"/>
      <c r="I14" s="1046"/>
      <c r="J14" s="1046"/>
      <c r="K14" s="1046" t="s">
        <v>215</v>
      </c>
      <c r="L14" s="1046"/>
      <c r="M14" s="1046"/>
      <c r="N14" s="1046"/>
    </row>
    <row r="15" spans="1:16" ht="82.5" hidden="1" customHeight="1">
      <c r="A15" s="1046"/>
      <c r="B15" s="1046"/>
      <c r="C15" s="57" t="s">
        <v>255</v>
      </c>
      <c r="D15" s="57" t="s">
        <v>256</v>
      </c>
      <c r="E15" s="57" t="s">
        <v>250</v>
      </c>
      <c r="F15" s="57" t="s">
        <v>247</v>
      </c>
      <c r="G15" s="57" t="s">
        <v>255</v>
      </c>
      <c r="H15" s="57" t="s">
        <v>256</v>
      </c>
      <c r="I15" s="57" t="s">
        <v>250</v>
      </c>
      <c r="J15" s="57" t="s">
        <v>247</v>
      </c>
      <c r="K15" s="57" t="s">
        <v>255</v>
      </c>
      <c r="L15" s="57" t="s">
        <v>256</v>
      </c>
      <c r="M15" s="57" t="s">
        <v>250</v>
      </c>
      <c r="N15" s="57" t="s">
        <v>247</v>
      </c>
    </row>
    <row r="16" spans="1:16" ht="108" hidden="1" customHeight="1">
      <c r="A16" s="57">
        <v>1</v>
      </c>
      <c r="B16" s="81" t="s">
        <v>251</v>
      </c>
      <c r="C16" s="57" t="s">
        <v>25</v>
      </c>
      <c r="D16" s="57" t="s">
        <v>25</v>
      </c>
      <c r="E16" s="57" t="s">
        <v>25</v>
      </c>
      <c r="F16" s="57" t="s">
        <v>25</v>
      </c>
      <c r="G16" s="57" t="s">
        <v>25</v>
      </c>
      <c r="H16" s="57" t="s">
        <v>25</v>
      </c>
      <c r="I16" s="57" t="s">
        <v>25</v>
      </c>
      <c r="J16" s="57" t="s">
        <v>25</v>
      </c>
      <c r="K16" s="57" t="s">
        <v>25</v>
      </c>
      <c r="L16" s="57" t="s">
        <v>25</v>
      </c>
      <c r="M16" s="57" t="s">
        <v>25</v>
      </c>
      <c r="N16" s="57" t="s">
        <v>25</v>
      </c>
    </row>
    <row r="17" spans="1:14" ht="89.25" hidden="1">
      <c r="A17" s="87" t="s">
        <v>128</v>
      </c>
      <c r="B17" s="81" t="s">
        <v>259</v>
      </c>
      <c r="C17" s="74">
        <v>1000</v>
      </c>
      <c r="D17" s="57">
        <v>0</v>
      </c>
      <c r="E17" s="57">
        <v>0</v>
      </c>
      <c r="F17" s="74">
        <f>C17*D17*E17</f>
        <v>0</v>
      </c>
      <c r="G17" s="74">
        <v>0</v>
      </c>
      <c r="H17" s="57">
        <v>0</v>
      </c>
      <c r="I17" s="57">
        <v>0</v>
      </c>
      <c r="J17" s="74">
        <f>G17*H17*I17</f>
        <v>0</v>
      </c>
      <c r="K17" s="74">
        <v>0</v>
      </c>
      <c r="L17" s="57">
        <v>0</v>
      </c>
      <c r="M17" s="57">
        <v>0</v>
      </c>
      <c r="N17" s="74">
        <f>K17*L17*M17</f>
        <v>0</v>
      </c>
    </row>
    <row r="18" spans="1:14" hidden="1">
      <c r="A18" s="93"/>
      <c r="B18" s="94"/>
      <c r="C18" s="86"/>
      <c r="D18" s="86"/>
      <c r="E18" s="86"/>
      <c r="F18" s="86"/>
      <c r="G18" s="86"/>
      <c r="H18" s="86"/>
      <c r="I18" s="86"/>
      <c r="J18" s="86"/>
      <c r="K18" s="86"/>
      <c r="L18" s="86"/>
      <c r="M18" s="86"/>
      <c r="N18" s="86"/>
    </row>
    <row r="19" spans="1:14" ht="38.25" hidden="1">
      <c r="A19" s="57" t="s">
        <v>16</v>
      </c>
      <c r="B19" s="81" t="s">
        <v>252</v>
      </c>
      <c r="C19" s="57" t="s">
        <v>25</v>
      </c>
      <c r="D19" s="57" t="s">
        <v>25</v>
      </c>
      <c r="E19" s="57" t="s">
        <v>25</v>
      </c>
      <c r="F19" s="57" t="s">
        <v>25</v>
      </c>
      <c r="G19" s="57" t="s">
        <v>25</v>
      </c>
      <c r="H19" s="57" t="s">
        <v>25</v>
      </c>
      <c r="I19" s="57" t="s">
        <v>25</v>
      </c>
      <c r="J19" s="57" t="s">
        <v>25</v>
      </c>
      <c r="K19" s="57" t="s">
        <v>25</v>
      </c>
      <c r="L19" s="57" t="s">
        <v>25</v>
      </c>
      <c r="M19" s="57" t="s">
        <v>25</v>
      </c>
      <c r="N19" s="57" t="s">
        <v>25</v>
      </c>
    </row>
    <row r="20" spans="1:14" ht="76.5" hidden="1">
      <c r="A20" s="87" t="s">
        <v>157</v>
      </c>
      <c r="B20" s="81" t="s">
        <v>253</v>
      </c>
      <c r="C20" s="74">
        <v>10000</v>
      </c>
      <c r="D20" s="57">
        <v>0</v>
      </c>
      <c r="E20" s="57">
        <v>0</v>
      </c>
      <c r="F20" s="74">
        <f>C20*D20*E20</f>
        <v>0</v>
      </c>
      <c r="G20" s="57">
        <v>0</v>
      </c>
      <c r="H20" s="57">
        <v>0</v>
      </c>
      <c r="I20" s="57">
        <v>0</v>
      </c>
      <c r="J20" s="57">
        <v>0</v>
      </c>
      <c r="K20" s="57">
        <v>0</v>
      </c>
      <c r="L20" s="57">
        <v>0</v>
      </c>
      <c r="M20" s="57">
        <v>0</v>
      </c>
      <c r="N20" s="57">
        <v>0</v>
      </c>
    </row>
    <row r="21" spans="1:14" hidden="1">
      <c r="A21" s="90"/>
      <c r="B21" s="81"/>
      <c r="C21" s="57"/>
      <c r="D21" s="57"/>
      <c r="E21" s="57"/>
      <c r="F21" s="57"/>
      <c r="G21" s="57"/>
      <c r="H21" s="57"/>
      <c r="I21" s="57"/>
      <c r="J21" s="57"/>
      <c r="K21" s="57"/>
      <c r="L21" s="57"/>
      <c r="M21" s="57"/>
      <c r="N21" s="57"/>
    </row>
    <row r="22" spans="1:14" hidden="1">
      <c r="A22" s="90"/>
      <c r="B22" s="81" t="s">
        <v>254</v>
      </c>
      <c r="C22" s="57" t="s">
        <v>25</v>
      </c>
      <c r="D22" s="89">
        <f>D17+D20</f>
        <v>0</v>
      </c>
      <c r="E22" s="89">
        <f>E17+E20</f>
        <v>0</v>
      </c>
      <c r="F22" s="74">
        <f>F17+F20</f>
        <v>0</v>
      </c>
      <c r="G22" s="57" t="s">
        <v>25</v>
      </c>
      <c r="H22" s="57">
        <f>H17</f>
        <v>0</v>
      </c>
      <c r="I22" s="57">
        <f>I17</f>
        <v>0</v>
      </c>
      <c r="J22" s="74">
        <f>J17</f>
        <v>0</v>
      </c>
      <c r="K22" s="57" t="s">
        <v>25</v>
      </c>
      <c r="L22" s="57">
        <f>L17</f>
        <v>0</v>
      </c>
      <c r="M22" s="57">
        <f>M17</f>
        <v>0</v>
      </c>
      <c r="N22" s="74">
        <f>N17</f>
        <v>0</v>
      </c>
    </row>
    <row r="23" spans="1:14">
      <c r="A23" s="95"/>
    </row>
    <row r="24" spans="1:14">
      <c r="A24" s="75" t="s">
        <v>260</v>
      </c>
    </row>
    <row r="26" spans="1:14">
      <c r="A26" s="75" t="s">
        <v>261</v>
      </c>
    </row>
    <row r="27" spans="1:14" s="77" customFormat="1" hidden="1">
      <c r="A27" s="77" t="s">
        <v>248</v>
      </c>
    </row>
    <row r="28" spans="1:14" hidden="1">
      <c r="B28" s="75" t="s">
        <v>479</v>
      </c>
    </row>
    <row r="29" spans="1:14" hidden="1">
      <c r="A29" s="75" t="s">
        <v>236</v>
      </c>
    </row>
    <row r="30" spans="1:14" hidden="1">
      <c r="A30" s="75" t="s">
        <v>262</v>
      </c>
    </row>
    <row r="31" spans="1:14" hidden="1">
      <c r="A31" s="75" t="s">
        <v>263</v>
      </c>
    </row>
    <row r="32" spans="1:14" ht="25.5" hidden="1" customHeight="1">
      <c r="A32" s="1060" t="s">
        <v>176</v>
      </c>
      <c r="B32" s="1060" t="s">
        <v>244</v>
      </c>
      <c r="C32" s="1052" t="s">
        <v>264</v>
      </c>
      <c r="D32" s="1062"/>
      <c r="E32" s="1062"/>
      <c r="F32" s="1053"/>
      <c r="G32" s="1052" t="s">
        <v>265</v>
      </c>
      <c r="H32" s="1062"/>
      <c r="I32" s="1062"/>
      <c r="J32" s="1053"/>
      <c r="K32" s="1052" t="s">
        <v>266</v>
      </c>
      <c r="L32" s="1062"/>
      <c r="M32" s="1062"/>
      <c r="N32" s="1053"/>
    </row>
    <row r="33" spans="1:16" ht="63.75" hidden="1">
      <c r="A33" s="1061"/>
      <c r="B33" s="1061"/>
      <c r="C33" s="57" t="s">
        <v>245</v>
      </c>
      <c r="D33" s="57" t="s">
        <v>256</v>
      </c>
      <c r="E33" s="57" t="s">
        <v>246</v>
      </c>
      <c r="F33" s="57" t="s">
        <v>247</v>
      </c>
      <c r="G33" s="57" t="s">
        <v>267</v>
      </c>
      <c r="H33" s="57" t="s">
        <v>256</v>
      </c>
      <c r="I33" s="57" t="s">
        <v>246</v>
      </c>
      <c r="J33" s="57" t="s">
        <v>247</v>
      </c>
      <c r="K33" s="57" t="s">
        <v>268</v>
      </c>
      <c r="L33" s="57" t="s">
        <v>256</v>
      </c>
      <c r="M33" s="57" t="s">
        <v>246</v>
      </c>
      <c r="N33" s="57" t="s">
        <v>247</v>
      </c>
    </row>
    <row r="34" spans="1:16" hidden="1">
      <c r="A34" s="57"/>
      <c r="B34" s="57"/>
      <c r="C34" s="90"/>
      <c r="D34" s="90"/>
      <c r="E34" s="90"/>
      <c r="F34" s="90"/>
      <c r="G34" s="90"/>
      <c r="H34" s="90"/>
      <c r="I34" s="90"/>
      <c r="J34" s="90"/>
      <c r="K34" s="90"/>
      <c r="L34" s="90"/>
      <c r="M34" s="90"/>
      <c r="N34" s="90"/>
    </row>
    <row r="35" spans="1:16">
      <c r="P35" s="75" t="s">
        <v>269</v>
      </c>
    </row>
    <row r="36" spans="1:16" s="84" customFormat="1">
      <c r="A36" s="84" t="s">
        <v>240</v>
      </c>
      <c r="D36" s="264"/>
    </row>
    <row r="38" spans="1:16">
      <c r="A38" s="75" t="s">
        <v>241</v>
      </c>
    </row>
    <row r="39" spans="1:16">
      <c r="A39" s="75" t="s">
        <v>242</v>
      </c>
    </row>
    <row r="40" spans="1:16">
      <c r="A40" s="75" t="s">
        <v>249</v>
      </c>
    </row>
    <row r="42" spans="1:16" ht="30.75" customHeight="1">
      <c r="A42" s="1046" t="s">
        <v>176</v>
      </c>
      <c r="B42" s="1046" t="s">
        <v>244</v>
      </c>
      <c r="C42" s="1046" t="s">
        <v>618</v>
      </c>
      <c r="D42" s="1046"/>
      <c r="E42" s="1046"/>
      <c r="F42" s="1046"/>
      <c r="G42" s="1046" t="s">
        <v>619</v>
      </c>
      <c r="H42" s="1046"/>
      <c r="I42" s="1046"/>
      <c r="J42" s="1046"/>
      <c r="K42" s="1046" t="s">
        <v>620</v>
      </c>
      <c r="L42" s="1046"/>
      <c r="M42" s="1046"/>
      <c r="N42" s="1046"/>
    </row>
    <row r="43" spans="1:16" ht="85.5" customHeight="1">
      <c r="A43" s="1046"/>
      <c r="B43" s="1046"/>
      <c r="C43" s="57" t="s">
        <v>245</v>
      </c>
      <c r="D43" s="57" t="s">
        <v>492</v>
      </c>
      <c r="E43" s="57" t="s">
        <v>491</v>
      </c>
      <c r="F43" s="57" t="s">
        <v>247</v>
      </c>
      <c r="G43" s="57" t="s">
        <v>245</v>
      </c>
      <c r="H43" s="182" t="s">
        <v>492</v>
      </c>
      <c r="I43" s="182" t="s">
        <v>491</v>
      </c>
      <c r="J43" s="57" t="s">
        <v>247</v>
      </c>
      <c r="K43" s="57" t="s">
        <v>245</v>
      </c>
      <c r="L43" s="182" t="s">
        <v>492</v>
      </c>
      <c r="M43" s="182" t="s">
        <v>491</v>
      </c>
      <c r="N43" s="57" t="s">
        <v>247</v>
      </c>
    </row>
    <row r="44" spans="1:16" ht="37.5" customHeight="1">
      <c r="A44" s="57">
        <v>1</v>
      </c>
      <c r="B44" s="81" t="s">
        <v>489</v>
      </c>
      <c r="C44" s="87" t="s">
        <v>493</v>
      </c>
      <c r="D44" s="287">
        <f>14+4</f>
        <v>18</v>
      </c>
      <c r="E44" s="288">
        <f>13+12</f>
        <v>25</v>
      </c>
      <c r="F44" s="289">
        <f>13300+500+12000+6000</f>
        <v>31800</v>
      </c>
      <c r="G44" s="290">
        <v>0</v>
      </c>
      <c r="H44" s="81">
        <v>0</v>
      </c>
      <c r="I44" s="81">
        <v>0</v>
      </c>
      <c r="J44" s="96">
        <f t="shared" ref="J44:J45" si="0">G44*H44*I44</f>
        <v>0</v>
      </c>
      <c r="K44" s="96">
        <v>0</v>
      </c>
      <c r="L44" s="81">
        <v>0</v>
      </c>
      <c r="M44" s="81">
        <v>0</v>
      </c>
      <c r="N44" s="96">
        <f t="shared" ref="N44:N45" si="1">K44*L44*M44</f>
        <v>0</v>
      </c>
    </row>
    <row r="45" spans="1:16" ht="63.75">
      <c r="A45" s="57">
        <v>2</v>
      </c>
      <c r="B45" s="81" t="s">
        <v>490</v>
      </c>
      <c r="C45" s="96">
        <f>F45/D45/E45</f>
        <v>297.81</v>
      </c>
      <c r="D45" s="281">
        <f>14+6+3</f>
        <v>23</v>
      </c>
      <c r="E45" s="281">
        <f>12+4+5</f>
        <v>21</v>
      </c>
      <c r="F45" s="290">
        <f>39692+101376+2772</f>
        <v>143840</v>
      </c>
      <c r="G45" s="290">
        <v>0</v>
      </c>
      <c r="H45" s="81">
        <v>0</v>
      </c>
      <c r="I45" s="81">
        <v>0</v>
      </c>
      <c r="J45" s="96">
        <f t="shared" si="0"/>
        <v>0</v>
      </c>
      <c r="K45" s="96">
        <v>0</v>
      </c>
      <c r="L45" s="81">
        <v>0</v>
      </c>
      <c r="M45" s="81">
        <v>0</v>
      </c>
      <c r="N45" s="96">
        <f t="shared" si="1"/>
        <v>0</v>
      </c>
    </row>
    <row r="46" spans="1:16">
      <c r="A46" s="97"/>
      <c r="B46" s="97" t="s">
        <v>254</v>
      </c>
      <c r="C46" s="98" t="s">
        <v>25</v>
      </c>
      <c r="D46" s="98" t="s">
        <v>25</v>
      </c>
      <c r="E46" s="98" t="s">
        <v>25</v>
      </c>
      <c r="F46" s="96">
        <f t="shared" ref="F46" si="2">SUM(F44:F45)</f>
        <v>175640</v>
      </c>
      <c r="G46" s="98" t="s">
        <v>25</v>
      </c>
      <c r="H46" s="98" t="s">
        <v>25</v>
      </c>
      <c r="I46" s="98" t="s">
        <v>25</v>
      </c>
      <c r="J46" s="97">
        <f>SUM(J44:J45)</f>
        <v>0</v>
      </c>
      <c r="K46" s="98" t="s">
        <v>25</v>
      </c>
      <c r="L46" s="98" t="s">
        <v>25</v>
      </c>
      <c r="M46" s="98" t="s">
        <v>25</v>
      </c>
      <c r="N46" s="97">
        <f>SUM(N44:N45)</f>
        <v>0</v>
      </c>
    </row>
    <row r="47" spans="1:16">
      <c r="F47" s="78"/>
      <c r="J47" s="78"/>
      <c r="N47" s="78"/>
    </row>
    <row r="48" spans="1:16">
      <c r="A48" s="75" t="s">
        <v>270</v>
      </c>
      <c r="P48" s="75" t="s">
        <v>271</v>
      </c>
    </row>
    <row r="49" spans="1:15" s="77" customFormat="1">
      <c r="A49" s="77" t="s">
        <v>235</v>
      </c>
    </row>
    <row r="50" spans="1:15">
      <c r="A50" s="75" t="s">
        <v>236</v>
      </c>
    </row>
    <row r="51" spans="1:15">
      <c r="A51" s="75" t="s">
        <v>237</v>
      </c>
    </row>
    <row r="52" spans="1:15">
      <c r="A52" s="75" t="s">
        <v>249</v>
      </c>
    </row>
    <row r="53" spans="1:15" ht="25.5" customHeight="1">
      <c r="A53" s="1046" t="s">
        <v>176</v>
      </c>
      <c r="B53" s="1046" t="s">
        <v>244</v>
      </c>
      <c r="C53" s="1046" t="s">
        <v>618</v>
      </c>
      <c r="D53" s="1046"/>
      <c r="E53" s="1046"/>
      <c r="F53" s="1046" t="s">
        <v>619</v>
      </c>
      <c r="G53" s="1046"/>
      <c r="H53" s="1046"/>
      <c r="I53" s="1046" t="s">
        <v>620</v>
      </c>
      <c r="J53" s="1046"/>
      <c r="K53" s="1046"/>
    </row>
    <row r="54" spans="1:15" ht="82.5" customHeight="1">
      <c r="A54" s="1046"/>
      <c r="B54" s="1046"/>
      <c r="C54" s="57" t="s">
        <v>272</v>
      </c>
      <c r="D54" s="57" t="s">
        <v>256</v>
      </c>
      <c r="E54" s="57" t="s">
        <v>247</v>
      </c>
      <c r="F54" s="57" t="s">
        <v>272</v>
      </c>
      <c r="G54" s="57" t="s">
        <v>256</v>
      </c>
      <c r="H54" s="57" t="s">
        <v>247</v>
      </c>
      <c r="I54" s="57" t="s">
        <v>272</v>
      </c>
      <c r="J54" s="57" t="s">
        <v>256</v>
      </c>
      <c r="K54" s="57" t="s">
        <v>247</v>
      </c>
    </row>
    <row r="55" spans="1:15" ht="54.75" customHeight="1">
      <c r="A55" s="57">
        <v>1</v>
      </c>
      <c r="B55" s="81" t="s">
        <v>273</v>
      </c>
      <c r="C55" s="74">
        <f>E55/D55</f>
        <v>3367</v>
      </c>
      <c r="D55" s="89">
        <v>2</v>
      </c>
      <c r="E55" s="74">
        <v>6734</v>
      </c>
      <c r="F55" s="74">
        <v>0</v>
      </c>
      <c r="G55" s="74">
        <v>0</v>
      </c>
      <c r="H55" s="74">
        <v>0</v>
      </c>
      <c r="I55" s="74">
        <v>0</v>
      </c>
      <c r="J55" s="74">
        <v>0</v>
      </c>
      <c r="K55" s="74">
        <v>0</v>
      </c>
      <c r="O55" s="75" t="s">
        <v>556</v>
      </c>
    </row>
    <row r="56" spans="1:15">
      <c r="A56" s="97"/>
      <c r="B56" s="97" t="s">
        <v>254</v>
      </c>
      <c r="C56" s="98" t="s">
        <v>25</v>
      </c>
      <c r="D56" s="99">
        <f>D55</f>
        <v>2</v>
      </c>
      <c r="E56" s="100">
        <f>E55</f>
        <v>6734</v>
      </c>
      <c r="F56" s="101" t="s">
        <v>25</v>
      </c>
      <c r="G56" s="102">
        <v>0</v>
      </c>
      <c r="H56" s="102">
        <v>0</v>
      </c>
      <c r="I56" s="98" t="s">
        <v>25</v>
      </c>
      <c r="J56" s="102">
        <v>0</v>
      </c>
      <c r="K56" s="102">
        <v>0</v>
      </c>
    </row>
    <row r="57" spans="1:15" s="84" customFormat="1"/>
    <row r="61" spans="1:15" ht="29.25" customHeight="1">
      <c r="A61" s="1059"/>
      <c r="B61" s="1059"/>
      <c r="C61" s="1059"/>
      <c r="D61" s="1059"/>
      <c r="E61" s="1059"/>
      <c r="F61" s="1059"/>
      <c r="G61" s="1059"/>
      <c r="H61" s="1059"/>
      <c r="I61" s="1059"/>
      <c r="J61" s="1059"/>
      <c r="K61" s="1059"/>
    </row>
    <row r="62" spans="1:15" ht="51" customHeight="1">
      <c r="A62" s="1059"/>
      <c r="B62" s="1059"/>
      <c r="C62" s="266"/>
      <c r="D62" s="266"/>
      <c r="E62" s="266"/>
      <c r="F62" s="266"/>
      <c r="G62" s="266"/>
      <c r="H62" s="266"/>
      <c r="I62" s="266"/>
      <c r="J62" s="266"/>
      <c r="K62" s="266"/>
    </row>
    <row r="63" spans="1:15">
      <c r="A63" s="267"/>
      <c r="B63" s="267"/>
      <c r="C63" s="268"/>
      <c r="D63" s="268"/>
      <c r="E63" s="268"/>
      <c r="F63" s="268"/>
      <c r="G63" s="268"/>
      <c r="H63" s="268"/>
      <c r="I63" s="268"/>
      <c r="J63" s="268"/>
      <c r="K63" s="268"/>
    </row>
    <row r="64" spans="1:15">
      <c r="A64" s="267"/>
      <c r="B64" s="267"/>
      <c r="C64" s="268"/>
      <c r="D64" s="268"/>
      <c r="E64" s="266"/>
      <c r="F64" s="268"/>
      <c r="G64" s="268"/>
      <c r="H64" s="268"/>
      <c r="I64" s="268"/>
      <c r="J64" s="268"/>
      <c r="K64" s="268"/>
    </row>
    <row r="65" ht="12.75" customHeight="1"/>
    <row r="274" spans="6:7">
      <c r="F274"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175</f>
        <v>#REF!</v>
      </c>
      <c r="G274"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30">
    <mergeCell ref="A6:A7"/>
    <mergeCell ref="B6:B7"/>
    <mergeCell ref="C6:F6"/>
    <mergeCell ref="G6:J6"/>
    <mergeCell ref="K6:N6"/>
    <mergeCell ref="A14:A15"/>
    <mergeCell ref="B14:B15"/>
    <mergeCell ref="C14:F14"/>
    <mergeCell ref="G14:J14"/>
    <mergeCell ref="K14:N14"/>
    <mergeCell ref="A32:A33"/>
    <mergeCell ref="B32:B33"/>
    <mergeCell ref="C32:F32"/>
    <mergeCell ref="G32:J32"/>
    <mergeCell ref="K32:N32"/>
    <mergeCell ref="A42:A43"/>
    <mergeCell ref="B42:B43"/>
    <mergeCell ref="C42:F42"/>
    <mergeCell ref="G42:J42"/>
    <mergeCell ref="K42:N42"/>
    <mergeCell ref="A53:A54"/>
    <mergeCell ref="B53:B54"/>
    <mergeCell ref="C53:E53"/>
    <mergeCell ref="F53:H53"/>
    <mergeCell ref="I53:K53"/>
    <mergeCell ref="A61:A62"/>
    <mergeCell ref="B61:B62"/>
    <mergeCell ref="C61:E61"/>
    <mergeCell ref="F61:H61"/>
    <mergeCell ref="I61:K61"/>
  </mergeCells>
  <pageMargins left="0.70866141732283472" right="0.70866141732283472" top="0.74803149606299213" bottom="0.74803149606299213" header="0.31496062992125984" footer="0.31496062992125984"/>
  <pageSetup paperSize="9" scale="51"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FFFF00"/>
    <pageSetUpPr fitToPage="1"/>
  </sheetPr>
  <dimension ref="A1:XEZ273"/>
  <sheetViews>
    <sheetView view="pageBreakPreview" topLeftCell="A16" zoomScale="70" zoomScaleNormal="85" zoomScaleSheetLayoutView="70" zoomScalePageLayoutView="55" workbookViewId="0">
      <selection activeCell="E216" sqref="E216"/>
    </sheetView>
  </sheetViews>
  <sheetFormatPr defaultRowHeight="15"/>
  <cols>
    <col min="1" max="1" width="7" bestFit="1" customWidth="1"/>
    <col min="2" max="2" width="30.140625" customWidth="1"/>
    <col min="3" max="3" width="16.140625" bestFit="1" customWidth="1"/>
    <col min="4" max="4" width="10.7109375" bestFit="1" customWidth="1"/>
    <col min="5" max="5" width="10.140625" bestFit="1" customWidth="1"/>
    <col min="6" max="6" width="12.7109375" customWidth="1"/>
    <col min="7" max="7" width="15" bestFit="1" customWidth="1"/>
    <col min="8" max="8" width="13.42578125" bestFit="1" customWidth="1"/>
    <col min="9" max="9" width="10.5703125" bestFit="1" customWidth="1"/>
    <col min="10" max="10" width="13.28515625" bestFit="1" customWidth="1"/>
    <col min="11" max="11" width="14.28515625" bestFit="1" customWidth="1"/>
    <col min="12" max="12" width="12.28515625" bestFit="1" customWidth="1"/>
    <col min="13" max="13" width="11.140625" bestFit="1" customWidth="1"/>
    <col min="14" max="14" width="13.28515625" bestFit="1" customWidth="1"/>
    <col min="15" max="15" width="13.42578125" customWidth="1"/>
    <col min="16" max="16" width="15.85546875" customWidth="1"/>
    <col min="17" max="17" width="15" customWidth="1"/>
    <col min="18" max="19" width="12" bestFit="1" customWidth="1"/>
  </cols>
  <sheetData>
    <row r="1" spans="1:16">
      <c r="A1" s="29" t="s">
        <v>280</v>
      </c>
    </row>
    <row r="2" spans="1:16" s="109" customFormat="1">
      <c r="A2" s="110" t="s">
        <v>248</v>
      </c>
    </row>
    <row r="3" spans="1:16">
      <c r="A3" s="29" t="s">
        <v>236</v>
      </c>
    </row>
    <row r="4" spans="1:16">
      <c r="A4" s="29" t="s">
        <v>237</v>
      </c>
    </row>
    <row r="5" spans="1:16">
      <c r="A5" s="29" t="s">
        <v>249</v>
      </c>
    </row>
    <row r="6" spans="1:16">
      <c r="A6" s="1086" t="s">
        <v>176</v>
      </c>
      <c r="B6" s="1086" t="s">
        <v>281</v>
      </c>
      <c r="C6" s="1086" t="s">
        <v>559</v>
      </c>
      <c r="D6" s="1086"/>
      <c r="E6" s="1086"/>
      <c r="F6" s="1086"/>
      <c r="G6" s="1086" t="s">
        <v>560</v>
      </c>
      <c r="H6" s="1086"/>
      <c r="I6" s="1086"/>
      <c r="J6" s="1086"/>
      <c r="K6" s="1086" t="s">
        <v>561</v>
      </c>
      <c r="L6" s="1086"/>
      <c r="M6" s="1086"/>
      <c r="N6" s="1086"/>
    </row>
    <row r="7" spans="1:16" ht="18.75" customHeight="1">
      <c r="A7" s="1086"/>
      <c r="B7" s="1086"/>
      <c r="C7" s="1086" t="s">
        <v>282</v>
      </c>
      <c r="D7" s="1087" t="s">
        <v>283</v>
      </c>
      <c r="E7" s="1088"/>
      <c r="F7" s="1086" t="s">
        <v>278</v>
      </c>
      <c r="G7" s="1086" t="s">
        <v>282</v>
      </c>
      <c r="H7" s="1087" t="s">
        <v>283</v>
      </c>
      <c r="I7" s="1088"/>
      <c r="J7" s="1086" t="s">
        <v>278</v>
      </c>
      <c r="K7" s="1086" t="s">
        <v>282</v>
      </c>
      <c r="L7" s="1087" t="s">
        <v>283</v>
      </c>
      <c r="M7" s="1088"/>
      <c r="N7" s="1086" t="s">
        <v>278</v>
      </c>
    </row>
    <row r="8" spans="1:16">
      <c r="A8" s="1086"/>
      <c r="B8" s="1086"/>
      <c r="C8" s="1086"/>
      <c r="D8" s="1089"/>
      <c r="E8" s="1090"/>
      <c r="F8" s="1086"/>
      <c r="G8" s="1086"/>
      <c r="H8" s="1089"/>
      <c r="I8" s="1090"/>
      <c r="J8" s="1086"/>
      <c r="K8" s="1086"/>
      <c r="L8" s="1089"/>
      <c r="M8" s="1090"/>
      <c r="N8" s="1086"/>
    </row>
    <row r="9" spans="1:16" s="111" customFormat="1" ht="38.25">
      <c r="A9" s="480">
        <v>1</v>
      </c>
      <c r="B9" s="481" t="s">
        <v>284</v>
      </c>
      <c r="C9" s="482">
        <v>10000</v>
      </c>
      <c r="D9" s="1080">
        <v>0.30199999999999999</v>
      </c>
      <c r="E9" s="1081"/>
      <c r="F9" s="482">
        <f>C9*D9</f>
        <v>3020</v>
      </c>
      <c r="G9" s="482">
        <v>20000</v>
      </c>
      <c r="H9" s="1080">
        <v>0.30199999999999999</v>
      </c>
      <c r="I9" s="1081"/>
      <c r="J9" s="482">
        <f t="shared" ref="J9:J12" si="0">G9*H9</f>
        <v>6040</v>
      </c>
      <c r="K9" s="482">
        <v>0</v>
      </c>
      <c r="L9" s="1080">
        <v>0.30199999999999999</v>
      </c>
      <c r="M9" s="1081"/>
      <c r="N9" s="482">
        <f t="shared" ref="N9:N12" si="1">K9*L9</f>
        <v>0</v>
      </c>
    </row>
    <row r="10" spans="1:16" s="111" customFormat="1" ht="38.25">
      <c r="A10" s="480">
        <v>2</v>
      </c>
      <c r="B10" s="481" t="s">
        <v>285</v>
      </c>
      <c r="C10" s="482">
        <v>20000</v>
      </c>
      <c r="D10" s="1080">
        <v>0.30199999999999999</v>
      </c>
      <c r="E10" s="1081"/>
      <c r="F10" s="482">
        <f t="shared" ref="F10:F11" si="2">C10*D10</f>
        <v>6040</v>
      </c>
      <c r="G10" s="482">
        <v>20000</v>
      </c>
      <c r="H10" s="1080">
        <v>0.30199999999999999</v>
      </c>
      <c r="I10" s="1081"/>
      <c r="J10" s="482">
        <f t="shared" si="0"/>
        <v>6040</v>
      </c>
      <c r="K10" s="482">
        <v>20000</v>
      </c>
      <c r="L10" s="1080">
        <v>0.30199999999999999</v>
      </c>
      <c r="M10" s="1081"/>
      <c r="N10" s="482">
        <f t="shared" si="1"/>
        <v>6040</v>
      </c>
    </row>
    <row r="11" spans="1:16" s="111" customFormat="1" ht="38.25">
      <c r="A11" s="480">
        <v>2</v>
      </c>
      <c r="B11" s="483" t="s">
        <v>644</v>
      </c>
      <c r="C11" s="484">
        <v>5000</v>
      </c>
      <c r="D11" s="1082">
        <v>0.30199999999999999</v>
      </c>
      <c r="E11" s="1083"/>
      <c r="F11" s="484">
        <f t="shared" si="2"/>
        <v>1510</v>
      </c>
      <c r="G11" s="484">
        <v>5000</v>
      </c>
      <c r="H11" s="1082">
        <v>0.30199999999999999</v>
      </c>
      <c r="I11" s="1083"/>
      <c r="J11" s="482">
        <f t="shared" si="0"/>
        <v>1510</v>
      </c>
      <c r="K11" s="482">
        <v>5000</v>
      </c>
      <c r="L11" s="1080">
        <v>0.30199999999999999</v>
      </c>
      <c r="M11" s="1081"/>
      <c r="N11" s="482">
        <f t="shared" si="1"/>
        <v>1510</v>
      </c>
    </row>
    <row r="12" spans="1:16" s="111" customFormat="1" ht="38.25">
      <c r="A12" s="480">
        <v>3</v>
      </c>
      <c r="B12" s="483" t="s">
        <v>286</v>
      </c>
      <c r="C12" s="484">
        <v>314333.40999999997</v>
      </c>
      <c r="D12" s="1082">
        <v>0.30199999999999999</v>
      </c>
      <c r="E12" s="1083"/>
      <c r="F12" s="484">
        <f>C12*D12</f>
        <v>94928.69</v>
      </c>
      <c r="G12" s="484">
        <v>16685.830000000002</v>
      </c>
      <c r="H12" s="1082">
        <v>0.30199999999999999</v>
      </c>
      <c r="I12" s="1083"/>
      <c r="J12" s="482">
        <f t="shared" si="0"/>
        <v>5039.12</v>
      </c>
      <c r="K12" s="482">
        <v>0</v>
      </c>
      <c r="L12" s="1080">
        <v>0.30199999999999999</v>
      </c>
      <c r="M12" s="1081"/>
      <c r="N12" s="482">
        <f t="shared" si="1"/>
        <v>0</v>
      </c>
      <c r="P12" s="280" t="s">
        <v>554</v>
      </c>
    </row>
    <row r="13" spans="1:16" s="111" customFormat="1">
      <c r="A13" s="481"/>
      <c r="B13" s="480" t="s">
        <v>254</v>
      </c>
      <c r="C13" s="480" t="s">
        <v>25</v>
      </c>
      <c r="D13" s="1084" t="s">
        <v>25</v>
      </c>
      <c r="E13" s="1085"/>
      <c r="F13" s="482">
        <f>SUM(F9:F12)</f>
        <v>105498.69</v>
      </c>
      <c r="G13" s="480" t="s">
        <v>25</v>
      </c>
      <c r="H13" s="1084" t="s">
        <v>25</v>
      </c>
      <c r="I13" s="1085"/>
      <c r="J13" s="482">
        <f>SUM(J9:J12)</f>
        <v>18629.12</v>
      </c>
      <c r="K13" s="480" t="s">
        <v>25</v>
      </c>
      <c r="L13" s="1084" t="s">
        <v>25</v>
      </c>
      <c r="M13" s="1085"/>
      <c r="N13" s="482">
        <f>SUM(N9:N12)</f>
        <v>7550</v>
      </c>
    </row>
    <row r="14" spans="1:16" s="111" customFormat="1"/>
    <row r="15" spans="1:16" s="113" customFormat="1">
      <c r="A15" s="114" t="s">
        <v>240</v>
      </c>
    </row>
    <row r="16" spans="1:16">
      <c r="A16" s="29" t="s">
        <v>241</v>
      </c>
    </row>
    <row r="17" spans="1:15" ht="25.5" customHeight="1">
      <c r="A17" s="1046" t="s">
        <v>176</v>
      </c>
      <c r="B17" s="1046" t="s">
        <v>281</v>
      </c>
      <c r="C17" s="1046" t="s">
        <v>274</v>
      </c>
      <c r="D17" s="1046"/>
      <c r="E17" s="1046"/>
      <c r="F17" s="1046"/>
      <c r="G17" s="1046" t="s">
        <v>275</v>
      </c>
      <c r="H17" s="1046"/>
      <c r="I17" s="1046"/>
      <c r="J17" s="1046"/>
      <c r="K17" s="1046" t="s">
        <v>276</v>
      </c>
      <c r="L17" s="1046"/>
      <c r="M17" s="1046"/>
      <c r="N17" s="1046"/>
    </row>
    <row r="18" spans="1:15" ht="25.5" customHeight="1">
      <c r="A18" s="1046"/>
      <c r="B18" s="1046"/>
      <c r="C18" s="1046" t="s">
        <v>282</v>
      </c>
      <c r="D18" s="1046" t="s">
        <v>283</v>
      </c>
      <c r="E18" s="57"/>
      <c r="F18" s="1046" t="s">
        <v>278</v>
      </c>
      <c r="G18" s="1046" t="s">
        <v>282</v>
      </c>
      <c r="H18" s="1046" t="s">
        <v>283</v>
      </c>
      <c r="I18" s="57"/>
      <c r="J18" s="1046" t="s">
        <v>278</v>
      </c>
      <c r="K18" s="1046" t="s">
        <v>282</v>
      </c>
      <c r="L18" s="1046" t="s">
        <v>283</v>
      </c>
      <c r="M18" s="57"/>
      <c r="N18" s="1046" t="s">
        <v>278</v>
      </c>
    </row>
    <row r="19" spans="1:15">
      <c r="A19" s="1046"/>
      <c r="B19" s="1046"/>
      <c r="C19" s="1046"/>
      <c r="D19" s="1046"/>
      <c r="E19" s="57"/>
      <c r="F19" s="1046"/>
      <c r="G19" s="1046"/>
      <c r="H19" s="1046"/>
      <c r="I19" s="57"/>
      <c r="J19" s="1046"/>
      <c r="K19" s="1046"/>
      <c r="L19" s="1046"/>
      <c r="M19" s="57"/>
      <c r="N19" s="1046"/>
    </row>
    <row r="20" spans="1:15">
      <c r="A20" s="81"/>
      <c r="B20" s="81"/>
      <c r="C20" s="90"/>
      <c r="D20" s="90"/>
      <c r="E20" s="90"/>
      <c r="F20" s="90"/>
      <c r="G20" s="90"/>
      <c r="H20" s="90"/>
      <c r="I20" s="90"/>
      <c r="J20" s="90"/>
      <c r="K20" s="90"/>
      <c r="L20" s="90"/>
      <c r="M20" s="90"/>
      <c r="N20" s="90"/>
    </row>
    <row r="21" spans="1:15">
      <c r="A21" s="81"/>
      <c r="B21" s="81"/>
      <c r="C21" s="115"/>
      <c r="D21" s="115"/>
      <c r="E21" s="115"/>
      <c r="F21" s="115"/>
      <c r="G21" s="115"/>
      <c r="H21" s="115"/>
      <c r="I21" s="115"/>
      <c r="J21" s="115"/>
      <c r="K21" s="115"/>
      <c r="L21" s="115"/>
      <c r="M21" s="115"/>
      <c r="N21" s="115"/>
    </row>
    <row r="22" spans="1:15">
      <c r="A22" s="116" t="s">
        <v>287</v>
      </c>
    </row>
    <row r="23" spans="1:15" s="109" customFormat="1">
      <c r="A23" s="110" t="s">
        <v>235</v>
      </c>
    </row>
    <row r="24" spans="1:15">
      <c r="A24" s="29" t="s">
        <v>236</v>
      </c>
    </row>
    <row r="25" spans="1:15">
      <c r="A25" s="29" t="s">
        <v>288</v>
      </c>
    </row>
    <row r="26" spans="1:15">
      <c r="A26" s="116" t="s">
        <v>289</v>
      </c>
    </row>
    <row r="27" spans="1:15" ht="25.5" customHeight="1">
      <c r="A27" s="1046" t="s">
        <v>176</v>
      </c>
      <c r="B27" s="1046" t="s">
        <v>244</v>
      </c>
      <c r="C27" s="1046" t="s">
        <v>274</v>
      </c>
      <c r="D27" s="1046"/>
      <c r="E27" s="1046"/>
      <c r="F27" s="1046"/>
      <c r="G27" s="1046"/>
      <c r="H27" s="1046" t="s">
        <v>275</v>
      </c>
      <c r="I27" s="1046"/>
      <c r="J27" s="1046"/>
      <c r="K27" s="1046"/>
      <c r="L27" s="1046"/>
      <c r="M27" s="57"/>
      <c r="N27" s="1046" t="s">
        <v>276</v>
      </c>
      <c r="O27" s="1046"/>
    </row>
    <row r="28" spans="1:15" ht="76.5">
      <c r="A28" s="1046"/>
      <c r="B28" s="1046"/>
      <c r="C28" s="57" t="s">
        <v>245</v>
      </c>
      <c r="D28" s="57" t="s">
        <v>277</v>
      </c>
      <c r="E28" s="57"/>
      <c r="F28" s="57" t="s">
        <v>246</v>
      </c>
      <c r="G28" s="57" t="s">
        <v>247</v>
      </c>
      <c r="H28" s="57" t="s">
        <v>245</v>
      </c>
      <c r="I28" s="57"/>
      <c r="J28" s="57" t="s">
        <v>277</v>
      </c>
      <c r="K28" s="57" t="s">
        <v>246</v>
      </c>
      <c r="L28" s="57" t="s">
        <v>247</v>
      </c>
      <c r="M28" s="57"/>
      <c r="N28" s="57" t="s">
        <v>245</v>
      </c>
      <c r="O28" s="57" t="s">
        <v>277</v>
      </c>
    </row>
    <row r="29" spans="1:15">
      <c r="A29" s="81"/>
      <c r="B29" s="81"/>
      <c r="C29" s="90"/>
      <c r="D29" s="90"/>
      <c r="E29" s="90"/>
      <c r="F29" s="90"/>
      <c r="G29" s="90"/>
      <c r="H29" s="90"/>
      <c r="I29" s="90"/>
      <c r="J29" s="90"/>
      <c r="K29" s="90"/>
      <c r="L29" s="90"/>
      <c r="M29" s="90"/>
      <c r="N29" s="90"/>
      <c r="O29" s="90"/>
    </row>
    <row r="30" spans="1:15">
      <c r="A30" s="81"/>
      <c r="B30" s="81"/>
      <c r="C30" s="115"/>
      <c r="D30" s="115"/>
      <c r="E30" s="115"/>
      <c r="F30" s="115"/>
      <c r="G30" s="115"/>
      <c r="H30" s="115"/>
      <c r="I30" s="115"/>
      <c r="J30" s="115"/>
      <c r="K30" s="115"/>
      <c r="L30" s="115"/>
      <c r="M30" s="115"/>
      <c r="N30" s="115"/>
      <c r="O30" s="115"/>
    </row>
    <row r="32" spans="1:15" s="464" customFormat="1">
      <c r="A32" s="374" t="s">
        <v>290</v>
      </c>
      <c r="B32" s="538"/>
      <c r="C32" s="538"/>
      <c r="D32" s="538"/>
      <c r="E32" s="538"/>
      <c r="F32" s="538"/>
      <c r="G32" s="538"/>
      <c r="H32" s="538"/>
      <c r="I32" s="538"/>
      <c r="J32" s="538"/>
      <c r="K32" s="538"/>
      <c r="L32" s="538"/>
      <c r="M32" s="538"/>
      <c r="N32" s="538"/>
      <c r="O32" s="538"/>
    </row>
    <row r="33" spans="1:16380" s="463" customFormat="1">
      <c r="A33" s="539" t="s">
        <v>235</v>
      </c>
      <c r="B33" s="540"/>
      <c r="C33" s="540"/>
      <c r="D33" s="540"/>
      <c r="E33" s="540"/>
      <c r="F33" s="540"/>
      <c r="G33" s="540"/>
      <c r="H33" s="540"/>
      <c r="I33" s="540"/>
      <c r="J33" s="540"/>
      <c r="K33" s="540"/>
      <c r="L33" s="540"/>
      <c r="M33" s="540"/>
      <c r="N33" s="540"/>
      <c r="O33" s="540"/>
    </row>
    <row r="34" spans="1:16380" s="464" customFormat="1">
      <c r="A34" s="374" t="s">
        <v>236</v>
      </c>
      <c r="B34" s="538"/>
      <c r="C34" s="538"/>
      <c r="D34" s="538"/>
      <c r="E34" s="538"/>
      <c r="F34" s="538"/>
      <c r="G34" s="538"/>
      <c r="H34" s="538"/>
      <c r="I34" s="538"/>
      <c r="J34" s="538"/>
      <c r="K34" s="538"/>
      <c r="L34" s="538"/>
      <c r="M34" s="538"/>
      <c r="N34" s="538"/>
      <c r="O34" s="538"/>
    </row>
    <row r="35" spans="1:16380" s="464" customFormat="1">
      <c r="A35" s="374" t="s">
        <v>237</v>
      </c>
      <c r="B35" s="538"/>
      <c r="C35" s="538"/>
      <c r="D35" s="538"/>
      <c r="E35" s="538"/>
      <c r="F35" s="538"/>
      <c r="G35" s="538"/>
      <c r="H35" s="538"/>
      <c r="I35" s="538"/>
      <c r="J35" s="538"/>
      <c r="K35" s="538"/>
      <c r="L35" s="538"/>
      <c r="M35" s="538"/>
      <c r="N35" s="538"/>
      <c r="O35" s="538"/>
    </row>
    <row r="36" spans="1:16380" s="464" customFormat="1">
      <c r="A36" s="374" t="s">
        <v>249</v>
      </c>
      <c r="B36" s="538"/>
      <c r="C36" s="538"/>
      <c r="D36" s="578"/>
      <c r="E36" s="538"/>
      <c r="F36" s="538"/>
      <c r="G36" s="538"/>
      <c r="H36" s="538"/>
      <c r="I36" s="538"/>
      <c r="J36" s="538"/>
      <c r="K36" s="538"/>
      <c r="L36" s="538"/>
      <c r="M36" s="538"/>
      <c r="N36" s="538"/>
      <c r="O36" s="538"/>
    </row>
    <row r="37" spans="1:16380" s="464" customFormat="1">
      <c r="A37" s="1065" t="s">
        <v>176</v>
      </c>
      <c r="B37" s="1065" t="s">
        <v>244</v>
      </c>
      <c r="C37" s="1065" t="s">
        <v>559</v>
      </c>
      <c r="D37" s="1065"/>
      <c r="E37" s="1065"/>
      <c r="F37" s="1065"/>
      <c r="G37" s="1065" t="s">
        <v>560</v>
      </c>
      <c r="H37" s="1065"/>
      <c r="I37" s="1065"/>
      <c r="J37" s="1065"/>
      <c r="K37" s="1065" t="s">
        <v>561</v>
      </c>
      <c r="L37" s="1065"/>
      <c r="M37" s="1065"/>
      <c r="N37" s="1065"/>
      <c r="O37" s="538"/>
    </row>
    <row r="38" spans="1:16380" s="464" customFormat="1" ht="65.25" customHeight="1">
      <c r="A38" s="1065"/>
      <c r="B38" s="1065"/>
      <c r="C38" s="563" t="s">
        <v>291</v>
      </c>
      <c r="D38" s="1066" t="s">
        <v>292</v>
      </c>
      <c r="E38" s="1067"/>
      <c r="F38" s="563" t="s">
        <v>293</v>
      </c>
      <c r="G38" s="563" t="s">
        <v>291</v>
      </c>
      <c r="H38" s="1066" t="s">
        <v>292</v>
      </c>
      <c r="I38" s="1067"/>
      <c r="J38" s="563" t="s">
        <v>293</v>
      </c>
      <c r="K38" s="563" t="s">
        <v>291</v>
      </c>
      <c r="L38" s="1066" t="s">
        <v>292</v>
      </c>
      <c r="M38" s="1067"/>
      <c r="N38" s="563" t="s">
        <v>293</v>
      </c>
      <c r="O38" s="538"/>
      <c r="P38" s="464" t="s">
        <v>294</v>
      </c>
    </row>
    <row r="39" spans="1:16380" s="464" customFormat="1" ht="25.5" hidden="1">
      <c r="A39" s="579">
        <v>1</v>
      </c>
      <c r="B39" s="564" t="s">
        <v>295</v>
      </c>
      <c r="C39" s="88">
        <f>F39/D39</f>
        <v>0</v>
      </c>
      <c r="D39" s="1063">
        <v>2.1999999999999999E-2</v>
      </c>
      <c r="E39" s="1064"/>
      <c r="F39" s="88">
        <v>0</v>
      </c>
      <c r="G39" s="88">
        <v>0</v>
      </c>
      <c r="H39" s="1063">
        <v>2.1999999999999999E-2</v>
      </c>
      <c r="I39" s="1064"/>
      <c r="J39" s="88">
        <v>0</v>
      </c>
      <c r="K39" s="88">
        <v>0</v>
      </c>
      <c r="L39" s="1063">
        <v>2.1999999999999999E-2</v>
      </c>
      <c r="M39" s="1064"/>
      <c r="N39" s="88">
        <v>0</v>
      </c>
      <c r="O39" s="538"/>
    </row>
    <row r="40" spans="1:16380" s="464" customFormat="1" ht="25.5">
      <c r="A40" s="563">
        <v>1</v>
      </c>
      <c r="B40" s="564" t="s">
        <v>296</v>
      </c>
      <c r="C40" s="88">
        <v>0</v>
      </c>
      <c r="D40" s="1063">
        <v>5.0000000000000001E-3</v>
      </c>
      <c r="E40" s="1064"/>
      <c r="F40" s="88">
        <f>ROUND(C40*D40,0)</f>
        <v>0</v>
      </c>
      <c r="G40" s="88">
        <v>0</v>
      </c>
      <c r="H40" s="1063">
        <v>5.0000000000000001E-3</v>
      </c>
      <c r="I40" s="1064"/>
      <c r="J40" s="88">
        <f>ROUND(G40*H40,0)</f>
        <v>0</v>
      </c>
      <c r="K40" s="88">
        <v>0</v>
      </c>
      <c r="L40" s="1063">
        <v>5.0000000000000001E-3</v>
      </c>
      <c r="M40" s="1064"/>
      <c r="N40" s="88">
        <f>ROUND(K40*L40,0)</f>
        <v>0</v>
      </c>
      <c r="O40" s="538"/>
      <c r="P40" s="464" t="s">
        <v>294</v>
      </c>
    </row>
    <row r="41" spans="1:16380" s="464" customFormat="1" ht="25.5">
      <c r="A41" s="563">
        <v>3</v>
      </c>
      <c r="B41" s="564" t="s">
        <v>297</v>
      </c>
      <c r="C41" s="88" t="s">
        <v>25</v>
      </c>
      <c r="D41" s="1063" t="s">
        <v>25</v>
      </c>
      <c r="E41" s="1064"/>
      <c r="F41" s="88">
        <v>0</v>
      </c>
      <c r="G41" s="88" t="s">
        <v>25</v>
      </c>
      <c r="H41" s="1063" t="s">
        <v>25</v>
      </c>
      <c r="I41" s="1064"/>
      <c r="J41" s="580">
        <v>0</v>
      </c>
      <c r="K41" s="88" t="s">
        <v>25</v>
      </c>
      <c r="L41" s="1063" t="s">
        <v>25</v>
      </c>
      <c r="M41" s="1064"/>
      <c r="N41" s="580">
        <v>0</v>
      </c>
      <c r="O41" s="538"/>
    </row>
    <row r="42" spans="1:16380" s="464" customFormat="1" ht="38.25">
      <c r="A42" s="563">
        <v>1</v>
      </c>
      <c r="B42" s="564" t="s">
        <v>570</v>
      </c>
      <c r="C42" s="88">
        <v>33377286.77</v>
      </c>
      <c r="D42" s="1078">
        <v>1.5E-3</v>
      </c>
      <c r="E42" s="1079"/>
      <c r="F42" s="88">
        <v>50065.93</v>
      </c>
      <c r="G42" s="88">
        <v>24782092.879999999</v>
      </c>
      <c r="H42" s="1078">
        <v>1.5E-3</v>
      </c>
      <c r="I42" s="1079"/>
      <c r="J42" s="88">
        <v>37173.14</v>
      </c>
      <c r="K42" s="88">
        <v>31978747.210000001</v>
      </c>
      <c r="L42" s="1078">
        <v>1.5E-3</v>
      </c>
      <c r="M42" s="1079"/>
      <c r="N42" s="88">
        <v>40682.78</v>
      </c>
      <c r="O42" s="538"/>
    </row>
    <row r="43" spans="1:16380" s="464" customFormat="1" ht="51">
      <c r="A43" s="563">
        <v>3</v>
      </c>
      <c r="B43" s="564" t="s">
        <v>571</v>
      </c>
      <c r="C43" s="88" t="s">
        <v>25</v>
      </c>
      <c r="D43" s="1078" t="s">
        <v>25</v>
      </c>
      <c r="E43" s="1079"/>
      <c r="F43" s="88">
        <v>800</v>
      </c>
      <c r="G43" s="88" t="s">
        <v>25</v>
      </c>
      <c r="H43" s="1078" t="s">
        <v>25</v>
      </c>
      <c r="I43" s="1079"/>
      <c r="J43" s="88">
        <v>0</v>
      </c>
      <c r="K43" s="88" t="s">
        <v>25</v>
      </c>
      <c r="L43" s="1078" t="s">
        <v>25</v>
      </c>
      <c r="M43" s="1079"/>
      <c r="N43" s="88">
        <v>0</v>
      </c>
      <c r="O43" s="538"/>
    </row>
    <row r="44" spans="1:16380" s="464" customFormat="1">
      <c r="A44" s="563"/>
      <c r="B44" s="563" t="s">
        <v>254</v>
      </c>
      <c r="C44" s="88" t="s">
        <v>25</v>
      </c>
      <c r="D44" s="1063" t="s">
        <v>25</v>
      </c>
      <c r="E44" s="1064"/>
      <c r="F44" s="88">
        <f>SUM(F39:F43)</f>
        <v>50865.93</v>
      </c>
      <c r="G44" s="88" t="s">
        <v>25</v>
      </c>
      <c r="H44" s="1063" t="s">
        <v>25</v>
      </c>
      <c r="I44" s="1064"/>
      <c r="J44" s="88">
        <f>J42</f>
        <v>37173.14</v>
      </c>
      <c r="K44" s="88" t="s">
        <v>25</v>
      </c>
      <c r="L44" s="1063" t="s">
        <v>25</v>
      </c>
      <c r="M44" s="1064"/>
      <c r="N44" s="88">
        <f>N42</f>
        <v>40682.78</v>
      </c>
      <c r="O44" s="538"/>
    </row>
    <row r="45" spans="1:16380">
      <c r="A45" s="535"/>
      <c r="B45" s="535"/>
      <c r="C45" s="536"/>
      <c r="D45" s="581"/>
      <c r="E45" s="581"/>
      <c r="F45" s="536"/>
      <c r="G45" s="536"/>
      <c r="H45" s="581"/>
      <c r="I45" s="581"/>
      <c r="J45" s="536"/>
      <c r="K45" s="536"/>
      <c r="L45" s="581"/>
      <c r="M45" s="581"/>
      <c r="N45" s="536"/>
      <c r="O45" s="538"/>
    </row>
    <row r="46" spans="1:16380" s="474" customFormat="1">
      <c r="A46" s="543" t="s">
        <v>240</v>
      </c>
      <c r="B46" s="543"/>
      <c r="C46" s="543"/>
      <c r="D46" s="543"/>
      <c r="E46" s="543"/>
      <c r="F46" s="582"/>
      <c r="G46" s="543"/>
      <c r="H46" s="543"/>
      <c r="I46" s="543"/>
      <c r="J46" s="543"/>
      <c r="K46" s="543"/>
      <c r="L46" s="543"/>
      <c r="M46" s="543"/>
      <c r="N46" s="543"/>
      <c r="O46" s="54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3"/>
      <c r="AQ46" s="473"/>
      <c r="AR46" s="473"/>
      <c r="AS46" s="473"/>
      <c r="AT46" s="473"/>
      <c r="AU46" s="473"/>
      <c r="AV46" s="473"/>
      <c r="AW46" s="473"/>
      <c r="AX46" s="473"/>
      <c r="AY46" s="473"/>
      <c r="AZ46" s="473"/>
      <c r="BA46" s="473"/>
      <c r="BB46" s="473"/>
      <c r="BC46" s="473"/>
      <c r="BD46" s="473"/>
      <c r="BE46" s="473"/>
      <c r="BF46" s="473"/>
      <c r="BG46" s="473"/>
      <c r="BH46" s="473"/>
      <c r="BI46" s="473"/>
      <c r="BJ46" s="473"/>
      <c r="BK46" s="473"/>
      <c r="BL46" s="473"/>
      <c r="BM46" s="473"/>
      <c r="BN46" s="473"/>
      <c r="BO46" s="473"/>
      <c r="BP46" s="473"/>
      <c r="BQ46" s="473"/>
      <c r="BR46" s="473"/>
      <c r="BS46" s="473"/>
      <c r="BT46" s="473"/>
      <c r="BU46" s="473"/>
      <c r="BV46" s="473"/>
      <c r="BW46" s="473"/>
      <c r="BX46" s="473"/>
      <c r="BY46" s="473"/>
      <c r="BZ46" s="473"/>
      <c r="CA46" s="473"/>
      <c r="CB46" s="473"/>
      <c r="CC46" s="473"/>
      <c r="CD46" s="473"/>
      <c r="CE46" s="473"/>
      <c r="CF46" s="473"/>
      <c r="CG46" s="473"/>
      <c r="CH46" s="473"/>
      <c r="CI46" s="473"/>
      <c r="CJ46" s="473"/>
      <c r="CK46" s="473"/>
      <c r="CL46" s="473"/>
      <c r="CM46" s="473"/>
      <c r="CN46" s="473"/>
      <c r="CO46" s="473"/>
      <c r="CP46" s="473"/>
      <c r="CQ46" s="473"/>
      <c r="CR46" s="473"/>
      <c r="CS46" s="473"/>
      <c r="CT46" s="473"/>
      <c r="CU46" s="473"/>
      <c r="CV46" s="473"/>
      <c r="CW46" s="473"/>
      <c r="CX46" s="473"/>
      <c r="CY46" s="473"/>
      <c r="CZ46" s="473"/>
      <c r="DA46" s="473"/>
      <c r="DB46" s="473"/>
      <c r="DC46" s="473"/>
      <c r="DD46" s="473"/>
      <c r="DE46" s="473"/>
      <c r="DF46" s="473"/>
      <c r="DG46" s="473"/>
      <c r="DH46" s="473"/>
      <c r="DI46" s="473"/>
      <c r="DJ46" s="473"/>
      <c r="DK46" s="473"/>
      <c r="DL46" s="473"/>
      <c r="DM46" s="473"/>
      <c r="DN46" s="473"/>
      <c r="DO46" s="473"/>
      <c r="DP46" s="473"/>
      <c r="DQ46" s="473"/>
      <c r="DR46" s="473"/>
      <c r="DS46" s="473"/>
      <c r="DT46" s="473"/>
      <c r="DU46" s="473"/>
      <c r="DV46" s="473"/>
      <c r="DW46" s="473"/>
      <c r="DX46" s="473"/>
      <c r="DY46" s="473"/>
      <c r="DZ46" s="473"/>
      <c r="EA46" s="473"/>
      <c r="EB46" s="473"/>
      <c r="EC46" s="473"/>
      <c r="ED46" s="473"/>
      <c r="EE46" s="473"/>
      <c r="EF46" s="473"/>
      <c r="EG46" s="473"/>
      <c r="EH46" s="473"/>
      <c r="EI46" s="473"/>
      <c r="EJ46" s="473"/>
      <c r="EK46" s="473"/>
      <c r="EL46" s="473"/>
      <c r="EM46" s="473"/>
      <c r="EN46" s="473"/>
      <c r="EO46" s="473"/>
      <c r="EP46" s="473"/>
      <c r="EQ46" s="473"/>
      <c r="ER46" s="473"/>
      <c r="ES46" s="473"/>
      <c r="ET46" s="473"/>
      <c r="EU46" s="473"/>
      <c r="EV46" s="473"/>
      <c r="EW46" s="473"/>
      <c r="EX46" s="473"/>
      <c r="EY46" s="473"/>
      <c r="EZ46" s="473"/>
      <c r="FA46" s="473"/>
      <c r="FB46" s="473"/>
      <c r="FC46" s="473"/>
      <c r="FD46" s="473"/>
      <c r="FE46" s="473"/>
      <c r="FF46" s="473"/>
      <c r="FG46" s="473"/>
      <c r="FH46" s="473"/>
      <c r="FI46" s="473"/>
      <c r="FJ46" s="473"/>
      <c r="FK46" s="473"/>
      <c r="FL46" s="473"/>
      <c r="FM46" s="473"/>
      <c r="FN46" s="473"/>
      <c r="FO46" s="473"/>
      <c r="FP46" s="473"/>
      <c r="FQ46" s="473"/>
      <c r="FR46" s="473"/>
      <c r="FS46" s="473"/>
      <c r="FT46" s="473"/>
      <c r="FU46" s="473"/>
      <c r="FV46" s="473"/>
      <c r="FW46" s="473"/>
      <c r="FX46" s="473"/>
      <c r="FY46" s="473"/>
      <c r="FZ46" s="473"/>
      <c r="GA46" s="473"/>
      <c r="GB46" s="473"/>
      <c r="GC46" s="473"/>
      <c r="GD46" s="473"/>
      <c r="GE46" s="473"/>
      <c r="GF46" s="473"/>
      <c r="GG46" s="473"/>
      <c r="GH46" s="473"/>
      <c r="GI46" s="473"/>
      <c r="GJ46" s="473"/>
      <c r="GK46" s="473"/>
      <c r="GL46" s="473"/>
      <c r="GM46" s="473"/>
      <c r="GN46" s="473"/>
      <c r="GO46" s="473"/>
      <c r="GP46" s="473"/>
      <c r="GQ46" s="473"/>
      <c r="GR46" s="473"/>
      <c r="GS46" s="473"/>
      <c r="GT46" s="473"/>
      <c r="GU46" s="473"/>
      <c r="GV46" s="473"/>
      <c r="GW46" s="473"/>
      <c r="GX46" s="473"/>
      <c r="GY46" s="473"/>
      <c r="GZ46" s="473"/>
      <c r="HA46" s="473"/>
      <c r="HB46" s="473"/>
      <c r="HC46" s="473"/>
      <c r="HD46" s="473"/>
      <c r="HE46" s="473"/>
      <c r="HF46" s="473"/>
      <c r="HG46" s="473"/>
      <c r="HH46" s="473"/>
      <c r="HI46" s="473"/>
      <c r="HJ46" s="473"/>
      <c r="HK46" s="473"/>
      <c r="HL46" s="473"/>
      <c r="HM46" s="473"/>
      <c r="HN46" s="473"/>
      <c r="HO46" s="473"/>
      <c r="HP46" s="473"/>
      <c r="HQ46" s="473"/>
      <c r="HR46" s="473"/>
      <c r="HS46" s="473"/>
      <c r="HT46" s="473"/>
      <c r="HU46" s="473"/>
      <c r="HV46" s="473"/>
      <c r="HW46" s="473"/>
      <c r="HX46" s="473"/>
      <c r="HY46" s="473"/>
      <c r="HZ46" s="473"/>
      <c r="IA46" s="473"/>
      <c r="IB46" s="473"/>
      <c r="IC46" s="473"/>
      <c r="ID46" s="473"/>
      <c r="IE46" s="473"/>
      <c r="IF46" s="473"/>
      <c r="IG46" s="473"/>
      <c r="IH46" s="473"/>
      <c r="II46" s="473"/>
      <c r="IJ46" s="473"/>
      <c r="IK46" s="473"/>
      <c r="IL46" s="473"/>
      <c r="IM46" s="473"/>
      <c r="IN46" s="473"/>
      <c r="IO46" s="473"/>
      <c r="IP46" s="473"/>
      <c r="IQ46" s="473"/>
      <c r="IR46" s="473"/>
      <c r="IS46" s="473"/>
      <c r="IT46" s="473"/>
      <c r="IU46" s="473"/>
      <c r="IV46" s="473"/>
      <c r="IW46" s="473"/>
      <c r="IX46" s="473"/>
      <c r="IY46" s="473"/>
      <c r="IZ46" s="473"/>
      <c r="JA46" s="473"/>
      <c r="JB46" s="473"/>
      <c r="JC46" s="473"/>
      <c r="JD46" s="473"/>
      <c r="JE46" s="473"/>
      <c r="JF46" s="473"/>
      <c r="JG46" s="473"/>
      <c r="JH46" s="473"/>
      <c r="JI46" s="473"/>
      <c r="JJ46" s="473"/>
      <c r="JK46" s="473"/>
      <c r="JL46" s="473"/>
      <c r="JM46" s="473"/>
      <c r="JN46" s="473"/>
      <c r="JO46" s="473"/>
      <c r="JP46" s="473"/>
      <c r="JQ46" s="473"/>
      <c r="JR46" s="473"/>
      <c r="JS46" s="473"/>
      <c r="JT46" s="473"/>
      <c r="JU46" s="473"/>
      <c r="JV46" s="473"/>
      <c r="JW46" s="473"/>
      <c r="JX46" s="473"/>
      <c r="JY46" s="473"/>
      <c r="JZ46" s="473"/>
      <c r="KA46" s="473"/>
      <c r="KB46" s="473"/>
      <c r="KC46" s="473"/>
      <c r="KD46" s="473"/>
      <c r="KE46" s="473"/>
      <c r="KF46" s="473"/>
      <c r="KG46" s="473"/>
      <c r="KH46" s="473"/>
      <c r="KI46" s="473"/>
      <c r="KJ46" s="473"/>
      <c r="KK46" s="473"/>
      <c r="KL46" s="473"/>
      <c r="KM46" s="473"/>
      <c r="KN46" s="473"/>
      <c r="KO46" s="473"/>
      <c r="KP46" s="473"/>
      <c r="KQ46" s="473"/>
      <c r="KR46" s="473"/>
      <c r="KS46" s="473"/>
      <c r="KT46" s="473"/>
      <c r="KU46" s="473"/>
      <c r="KV46" s="473"/>
      <c r="KW46" s="473"/>
      <c r="KX46" s="473"/>
      <c r="KY46" s="473"/>
      <c r="KZ46" s="473"/>
      <c r="LA46" s="473"/>
      <c r="LB46" s="473"/>
      <c r="LC46" s="473"/>
      <c r="LD46" s="473"/>
      <c r="LE46" s="473"/>
      <c r="LF46" s="473"/>
      <c r="LG46" s="473"/>
      <c r="LH46" s="473"/>
      <c r="LI46" s="473"/>
      <c r="LJ46" s="473"/>
      <c r="LK46" s="473"/>
      <c r="LL46" s="473"/>
      <c r="LM46" s="473"/>
      <c r="LN46" s="473"/>
      <c r="LO46" s="473"/>
      <c r="LP46" s="473"/>
      <c r="LQ46" s="473"/>
      <c r="LR46" s="473"/>
      <c r="LS46" s="473"/>
      <c r="LT46" s="473"/>
      <c r="LU46" s="473"/>
      <c r="LV46" s="473"/>
      <c r="LW46" s="473"/>
      <c r="LX46" s="473"/>
      <c r="LY46" s="473"/>
      <c r="LZ46" s="473"/>
      <c r="MA46" s="473"/>
      <c r="MB46" s="473"/>
      <c r="MC46" s="473"/>
      <c r="MD46" s="473"/>
      <c r="ME46" s="473"/>
      <c r="MF46" s="473"/>
      <c r="MG46" s="473"/>
      <c r="MH46" s="473"/>
      <c r="MI46" s="473"/>
      <c r="MJ46" s="473"/>
      <c r="MK46" s="473"/>
      <c r="ML46" s="473"/>
      <c r="MM46" s="473"/>
      <c r="MN46" s="473"/>
      <c r="MO46" s="473"/>
      <c r="MP46" s="473"/>
      <c r="MQ46" s="473"/>
      <c r="MR46" s="473"/>
      <c r="MS46" s="473"/>
      <c r="MT46" s="473"/>
      <c r="MU46" s="473"/>
      <c r="MV46" s="473"/>
      <c r="MW46" s="473"/>
      <c r="MX46" s="473"/>
      <c r="MY46" s="473"/>
      <c r="MZ46" s="473"/>
      <c r="NA46" s="473"/>
      <c r="NB46" s="473"/>
      <c r="NC46" s="473"/>
      <c r="ND46" s="473"/>
      <c r="NE46" s="473"/>
      <c r="NF46" s="473"/>
      <c r="NG46" s="473"/>
      <c r="NH46" s="473"/>
      <c r="NI46" s="473"/>
      <c r="NJ46" s="473"/>
      <c r="NK46" s="473"/>
      <c r="NL46" s="473"/>
      <c r="NM46" s="473"/>
      <c r="NN46" s="473"/>
      <c r="NO46" s="473"/>
      <c r="NP46" s="473"/>
      <c r="NQ46" s="473"/>
      <c r="NR46" s="473"/>
      <c r="NS46" s="473"/>
      <c r="NT46" s="473"/>
      <c r="NU46" s="473"/>
      <c r="NV46" s="473"/>
      <c r="NW46" s="473"/>
      <c r="NX46" s="473"/>
      <c r="NY46" s="473"/>
      <c r="NZ46" s="473"/>
      <c r="OA46" s="473"/>
      <c r="OB46" s="473"/>
      <c r="OC46" s="473"/>
      <c r="OD46" s="473"/>
      <c r="OE46" s="473"/>
      <c r="OF46" s="473"/>
      <c r="OG46" s="473"/>
      <c r="OH46" s="473"/>
      <c r="OI46" s="473"/>
      <c r="OJ46" s="473"/>
      <c r="OK46" s="473"/>
      <c r="OL46" s="473"/>
      <c r="OM46" s="473"/>
      <c r="ON46" s="473"/>
      <c r="OO46" s="473"/>
      <c r="OP46" s="473"/>
      <c r="OQ46" s="473"/>
      <c r="OR46" s="473"/>
      <c r="OS46" s="473"/>
      <c r="OT46" s="473"/>
      <c r="OU46" s="473"/>
      <c r="OV46" s="473"/>
      <c r="OW46" s="473"/>
      <c r="OX46" s="473"/>
      <c r="OY46" s="473"/>
      <c r="OZ46" s="473"/>
      <c r="PA46" s="473"/>
      <c r="PB46" s="473"/>
      <c r="PC46" s="473"/>
      <c r="PD46" s="473"/>
      <c r="PE46" s="473"/>
      <c r="PF46" s="473"/>
      <c r="PG46" s="473"/>
      <c r="PH46" s="473"/>
      <c r="PI46" s="473"/>
      <c r="PJ46" s="473"/>
      <c r="PK46" s="473"/>
      <c r="PL46" s="473"/>
      <c r="PM46" s="473"/>
      <c r="PN46" s="473"/>
      <c r="PO46" s="473"/>
      <c r="PP46" s="473"/>
      <c r="PQ46" s="473"/>
      <c r="PR46" s="473"/>
      <c r="PS46" s="473"/>
      <c r="PT46" s="473"/>
      <c r="PU46" s="473"/>
      <c r="PV46" s="473"/>
      <c r="PW46" s="473"/>
      <c r="PX46" s="473"/>
      <c r="PY46" s="473"/>
      <c r="PZ46" s="473"/>
      <c r="QA46" s="473"/>
      <c r="QB46" s="473"/>
      <c r="QC46" s="473"/>
      <c r="QD46" s="473"/>
      <c r="QE46" s="473"/>
      <c r="QF46" s="473"/>
      <c r="QG46" s="473"/>
      <c r="QH46" s="473"/>
      <c r="QI46" s="473"/>
      <c r="QJ46" s="473"/>
      <c r="QK46" s="473"/>
      <c r="QL46" s="473"/>
      <c r="QM46" s="473"/>
      <c r="QN46" s="473"/>
      <c r="QO46" s="473"/>
      <c r="QP46" s="473"/>
      <c r="QQ46" s="473"/>
      <c r="QR46" s="473"/>
      <c r="QS46" s="473"/>
      <c r="QT46" s="473"/>
      <c r="QU46" s="473"/>
      <c r="QV46" s="473"/>
      <c r="QW46" s="473"/>
      <c r="QX46" s="473"/>
      <c r="QY46" s="473"/>
      <c r="QZ46" s="473"/>
      <c r="RA46" s="473"/>
      <c r="RB46" s="473"/>
      <c r="RC46" s="473"/>
      <c r="RD46" s="473"/>
      <c r="RE46" s="473"/>
      <c r="RF46" s="473"/>
      <c r="RG46" s="473"/>
      <c r="RH46" s="473"/>
      <c r="RI46" s="473"/>
      <c r="RJ46" s="473"/>
      <c r="RK46" s="473"/>
      <c r="RL46" s="473"/>
      <c r="RM46" s="473"/>
      <c r="RN46" s="473"/>
      <c r="RO46" s="473"/>
      <c r="RP46" s="473"/>
      <c r="RQ46" s="473"/>
      <c r="RR46" s="473"/>
      <c r="RS46" s="473"/>
      <c r="RT46" s="473"/>
      <c r="RU46" s="473"/>
      <c r="RV46" s="473"/>
      <c r="RW46" s="473"/>
      <c r="RX46" s="473"/>
      <c r="RY46" s="473"/>
      <c r="RZ46" s="473"/>
      <c r="SA46" s="473"/>
      <c r="SB46" s="473"/>
      <c r="SC46" s="473"/>
      <c r="SD46" s="473"/>
      <c r="SE46" s="473"/>
      <c r="SF46" s="473"/>
      <c r="SG46" s="473"/>
      <c r="SH46" s="473"/>
      <c r="SI46" s="473"/>
      <c r="SJ46" s="473"/>
      <c r="SK46" s="473"/>
      <c r="SL46" s="473"/>
      <c r="SM46" s="473"/>
      <c r="SN46" s="473"/>
      <c r="SO46" s="473"/>
      <c r="SP46" s="473"/>
      <c r="SQ46" s="473"/>
      <c r="SR46" s="473"/>
      <c r="SS46" s="473"/>
      <c r="ST46" s="473"/>
      <c r="SU46" s="473"/>
      <c r="SV46" s="473"/>
      <c r="SW46" s="473"/>
      <c r="SX46" s="473"/>
      <c r="SY46" s="473"/>
      <c r="SZ46" s="473"/>
      <c r="TA46" s="473"/>
      <c r="TB46" s="473"/>
      <c r="TC46" s="473"/>
      <c r="TD46" s="473"/>
      <c r="TE46" s="473"/>
      <c r="TF46" s="473"/>
      <c r="TG46" s="473"/>
      <c r="TH46" s="473"/>
      <c r="TI46" s="473"/>
      <c r="TJ46" s="473"/>
      <c r="TK46" s="473"/>
      <c r="TL46" s="473"/>
      <c r="TM46" s="473"/>
      <c r="TN46" s="473"/>
      <c r="TO46" s="473"/>
      <c r="TP46" s="473"/>
      <c r="TQ46" s="473"/>
      <c r="TR46" s="473"/>
      <c r="TS46" s="473"/>
      <c r="TT46" s="473"/>
      <c r="TU46" s="473"/>
      <c r="TV46" s="473"/>
      <c r="TW46" s="473"/>
      <c r="TX46" s="473"/>
      <c r="TY46" s="473"/>
      <c r="TZ46" s="473"/>
      <c r="UA46" s="473"/>
      <c r="UB46" s="473"/>
      <c r="UC46" s="473"/>
      <c r="UD46" s="473"/>
      <c r="UE46" s="473"/>
      <c r="UF46" s="473"/>
      <c r="UG46" s="473"/>
      <c r="UH46" s="473"/>
      <c r="UI46" s="473"/>
      <c r="UJ46" s="473"/>
      <c r="UK46" s="473"/>
      <c r="UL46" s="473"/>
      <c r="UM46" s="473"/>
      <c r="UN46" s="473"/>
      <c r="UO46" s="473"/>
      <c r="UP46" s="473"/>
      <c r="UQ46" s="473"/>
      <c r="UR46" s="473"/>
      <c r="US46" s="473"/>
      <c r="UT46" s="473"/>
      <c r="UU46" s="473"/>
      <c r="UV46" s="473"/>
      <c r="UW46" s="473"/>
      <c r="UX46" s="473"/>
      <c r="UY46" s="473"/>
      <c r="UZ46" s="473"/>
      <c r="VA46" s="473"/>
      <c r="VB46" s="473"/>
      <c r="VC46" s="473"/>
      <c r="VD46" s="473"/>
      <c r="VE46" s="473"/>
      <c r="VF46" s="473"/>
      <c r="VG46" s="473"/>
      <c r="VH46" s="473"/>
      <c r="VI46" s="473"/>
      <c r="VJ46" s="473"/>
      <c r="VK46" s="473"/>
      <c r="VL46" s="473"/>
      <c r="VM46" s="473"/>
      <c r="VN46" s="473"/>
      <c r="VO46" s="473"/>
      <c r="VP46" s="473"/>
      <c r="VQ46" s="473"/>
      <c r="VR46" s="473"/>
      <c r="VS46" s="473"/>
      <c r="VT46" s="473"/>
      <c r="VU46" s="473"/>
      <c r="VV46" s="473"/>
      <c r="VW46" s="473"/>
      <c r="VX46" s="473"/>
      <c r="VY46" s="473"/>
      <c r="VZ46" s="473"/>
      <c r="WA46" s="473"/>
      <c r="WB46" s="473"/>
      <c r="WC46" s="473"/>
      <c r="WD46" s="473"/>
      <c r="WE46" s="473"/>
      <c r="WF46" s="473"/>
      <c r="WG46" s="473"/>
      <c r="WH46" s="473"/>
      <c r="WI46" s="473"/>
      <c r="WJ46" s="473"/>
      <c r="WK46" s="473"/>
      <c r="WL46" s="473"/>
      <c r="WM46" s="473"/>
      <c r="WN46" s="473"/>
      <c r="WO46" s="473"/>
      <c r="WP46" s="473"/>
      <c r="WQ46" s="473"/>
      <c r="WR46" s="473"/>
      <c r="WS46" s="473"/>
      <c r="WT46" s="473"/>
      <c r="WU46" s="473"/>
      <c r="WV46" s="473"/>
      <c r="WW46" s="473"/>
      <c r="WX46" s="473"/>
      <c r="WY46" s="473"/>
      <c r="WZ46" s="473"/>
      <c r="XA46" s="473"/>
      <c r="XB46" s="473"/>
      <c r="XC46" s="473"/>
      <c r="XD46" s="473"/>
      <c r="XE46" s="473"/>
      <c r="XF46" s="473"/>
      <c r="XG46" s="473"/>
      <c r="XH46" s="473"/>
      <c r="XI46" s="473"/>
      <c r="XJ46" s="473"/>
      <c r="XK46" s="473"/>
      <c r="XL46" s="473"/>
      <c r="XM46" s="473"/>
      <c r="XN46" s="473"/>
      <c r="XO46" s="473"/>
      <c r="XP46" s="473"/>
      <c r="XQ46" s="473"/>
      <c r="XR46" s="473"/>
      <c r="XS46" s="473"/>
      <c r="XT46" s="473"/>
      <c r="XU46" s="473"/>
      <c r="XV46" s="473"/>
      <c r="XW46" s="473"/>
      <c r="XX46" s="473"/>
      <c r="XY46" s="473"/>
      <c r="XZ46" s="473"/>
      <c r="YA46" s="473"/>
      <c r="YB46" s="473"/>
      <c r="YC46" s="473"/>
      <c r="YD46" s="473"/>
      <c r="YE46" s="473"/>
      <c r="YF46" s="473"/>
      <c r="YG46" s="473"/>
      <c r="YH46" s="473"/>
      <c r="YI46" s="473"/>
      <c r="YJ46" s="473"/>
      <c r="YK46" s="473"/>
      <c r="YL46" s="473"/>
      <c r="YM46" s="473"/>
      <c r="YN46" s="473"/>
      <c r="YO46" s="473"/>
      <c r="YP46" s="473"/>
      <c r="YQ46" s="473"/>
      <c r="YR46" s="473"/>
      <c r="YS46" s="473"/>
      <c r="YT46" s="473"/>
      <c r="YU46" s="473"/>
      <c r="YV46" s="473"/>
      <c r="YW46" s="473"/>
      <c r="YX46" s="473"/>
      <c r="YY46" s="473"/>
      <c r="YZ46" s="473"/>
      <c r="ZA46" s="473"/>
      <c r="ZB46" s="473"/>
      <c r="ZC46" s="473"/>
      <c r="ZD46" s="473"/>
      <c r="ZE46" s="473"/>
      <c r="ZF46" s="473"/>
      <c r="ZG46" s="473"/>
      <c r="ZH46" s="473"/>
      <c r="ZI46" s="473"/>
      <c r="ZJ46" s="473"/>
      <c r="ZK46" s="473"/>
      <c r="ZL46" s="473"/>
      <c r="ZM46" s="473"/>
      <c r="ZN46" s="473"/>
      <c r="ZO46" s="473"/>
      <c r="ZP46" s="473"/>
      <c r="ZQ46" s="473"/>
      <c r="ZR46" s="473"/>
      <c r="ZS46" s="473"/>
      <c r="ZT46" s="473"/>
      <c r="ZU46" s="473"/>
      <c r="ZV46" s="473"/>
      <c r="ZW46" s="473"/>
      <c r="ZX46" s="473"/>
      <c r="ZY46" s="473"/>
      <c r="ZZ46" s="473"/>
      <c r="AAA46" s="473"/>
      <c r="AAB46" s="473"/>
      <c r="AAC46" s="473"/>
      <c r="AAD46" s="473"/>
      <c r="AAE46" s="473"/>
      <c r="AAF46" s="473"/>
      <c r="AAG46" s="473"/>
      <c r="AAH46" s="473"/>
      <c r="AAI46" s="473"/>
      <c r="AAJ46" s="473"/>
      <c r="AAK46" s="473"/>
      <c r="AAL46" s="473"/>
      <c r="AAM46" s="473"/>
      <c r="AAN46" s="473"/>
      <c r="AAO46" s="473"/>
      <c r="AAP46" s="473"/>
      <c r="AAQ46" s="473"/>
      <c r="AAR46" s="473"/>
      <c r="AAS46" s="473"/>
      <c r="AAT46" s="473"/>
      <c r="AAU46" s="473"/>
      <c r="AAV46" s="473"/>
      <c r="AAW46" s="473"/>
      <c r="AAX46" s="473"/>
      <c r="AAY46" s="473"/>
      <c r="AAZ46" s="473"/>
      <c r="ABA46" s="473"/>
      <c r="ABB46" s="473"/>
      <c r="ABC46" s="473"/>
      <c r="ABD46" s="473"/>
      <c r="ABE46" s="473"/>
      <c r="ABF46" s="473"/>
      <c r="ABG46" s="473"/>
      <c r="ABH46" s="473"/>
      <c r="ABI46" s="473"/>
      <c r="ABJ46" s="473"/>
      <c r="ABK46" s="473"/>
      <c r="ABL46" s="473"/>
      <c r="ABM46" s="473"/>
      <c r="ABN46" s="473"/>
      <c r="ABO46" s="473"/>
      <c r="ABP46" s="473"/>
      <c r="ABQ46" s="473"/>
      <c r="ABR46" s="473"/>
      <c r="ABS46" s="473"/>
      <c r="ABT46" s="473"/>
      <c r="ABU46" s="473"/>
      <c r="ABV46" s="473"/>
      <c r="ABW46" s="473"/>
      <c r="ABX46" s="473"/>
      <c r="ABY46" s="473"/>
      <c r="ABZ46" s="473"/>
      <c r="ACA46" s="473"/>
      <c r="ACB46" s="473"/>
      <c r="ACC46" s="473"/>
      <c r="ACD46" s="473"/>
      <c r="ACE46" s="473"/>
      <c r="ACF46" s="473"/>
      <c r="ACG46" s="473"/>
      <c r="ACH46" s="473"/>
      <c r="ACI46" s="473"/>
      <c r="ACJ46" s="473"/>
      <c r="ACK46" s="473"/>
      <c r="ACL46" s="473"/>
      <c r="ACM46" s="473"/>
      <c r="ACN46" s="473"/>
      <c r="ACO46" s="473"/>
      <c r="ACP46" s="473"/>
      <c r="ACQ46" s="473"/>
      <c r="ACR46" s="473"/>
      <c r="ACS46" s="473"/>
      <c r="ACT46" s="473"/>
      <c r="ACU46" s="473"/>
      <c r="ACV46" s="473"/>
      <c r="ACW46" s="473"/>
      <c r="ACX46" s="473"/>
      <c r="ACY46" s="473"/>
      <c r="ACZ46" s="473"/>
      <c r="ADA46" s="473"/>
      <c r="ADB46" s="473"/>
      <c r="ADC46" s="473"/>
      <c r="ADD46" s="473"/>
      <c r="ADE46" s="473"/>
      <c r="ADF46" s="473"/>
      <c r="ADG46" s="473"/>
      <c r="ADH46" s="473"/>
      <c r="ADI46" s="473"/>
      <c r="ADJ46" s="473"/>
      <c r="ADK46" s="473"/>
      <c r="ADL46" s="473"/>
      <c r="ADM46" s="473"/>
      <c r="ADN46" s="473"/>
      <c r="ADO46" s="473"/>
      <c r="ADP46" s="473"/>
      <c r="ADQ46" s="473"/>
      <c r="ADR46" s="473"/>
      <c r="ADS46" s="473"/>
      <c r="ADT46" s="473"/>
      <c r="ADU46" s="473"/>
      <c r="ADV46" s="473"/>
      <c r="ADW46" s="473"/>
      <c r="ADX46" s="473"/>
      <c r="ADY46" s="473"/>
      <c r="ADZ46" s="473"/>
      <c r="AEA46" s="473"/>
      <c r="AEB46" s="473"/>
      <c r="AEC46" s="473"/>
      <c r="AED46" s="473"/>
      <c r="AEE46" s="473"/>
      <c r="AEF46" s="473"/>
      <c r="AEG46" s="473"/>
      <c r="AEH46" s="473"/>
      <c r="AEI46" s="473"/>
      <c r="AEJ46" s="473"/>
      <c r="AEK46" s="473"/>
      <c r="AEL46" s="473"/>
      <c r="AEM46" s="473"/>
      <c r="AEN46" s="473"/>
      <c r="AEO46" s="473"/>
      <c r="AEP46" s="473"/>
      <c r="AEQ46" s="473"/>
      <c r="AER46" s="473"/>
      <c r="AES46" s="473"/>
      <c r="AET46" s="473"/>
      <c r="AEU46" s="473"/>
      <c r="AEV46" s="473"/>
      <c r="AEW46" s="473"/>
      <c r="AEX46" s="473"/>
      <c r="AEY46" s="473"/>
      <c r="AEZ46" s="473"/>
      <c r="AFA46" s="473"/>
      <c r="AFB46" s="473"/>
      <c r="AFC46" s="473"/>
      <c r="AFD46" s="473"/>
      <c r="AFE46" s="473"/>
      <c r="AFF46" s="473"/>
      <c r="AFG46" s="473"/>
      <c r="AFH46" s="473"/>
      <c r="AFI46" s="473"/>
      <c r="AFJ46" s="473"/>
      <c r="AFK46" s="473"/>
      <c r="AFL46" s="473"/>
      <c r="AFM46" s="473"/>
      <c r="AFN46" s="473"/>
      <c r="AFO46" s="473"/>
      <c r="AFP46" s="473"/>
      <c r="AFQ46" s="473"/>
      <c r="AFR46" s="473"/>
      <c r="AFS46" s="473"/>
      <c r="AFT46" s="473"/>
      <c r="AFU46" s="473"/>
      <c r="AFV46" s="473"/>
      <c r="AFW46" s="473"/>
      <c r="AFX46" s="473"/>
      <c r="AFY46" s="473"/>
      <c r="AFZ46" s="473"/>
      <c r="AGA46" s="473"/>
      <c r="AGB46" s="473"/>
      <c r="AGC46" s="473"/>
      <c r="AGD46" s="473"/>
      <c r="AGE46" s="473"/>
      <c r="AGF46" s="473"/>
      <c r="AGG46" s="473"/>
      <c r="AGH46" s="473"/>
      <c r="AGI46" s="473"/>
      <c r="AGJ46" s="473"/>
      <c r="AGK46" s="473"/>
      <c r="AGL46" s="473"/>
      <c r="AGM46" s="473"/>
      <c r="AGN46" s="473"/>
      <c r="AGO46" s="473"/>
      <c r="AGP46" s="473"/>
      <c r="AGQ46" s="473"/>
      <c r="AGR46" s="473"/>
      <c r="AGS46" s="473"/>
      <c r="AGT46" s="473"/>
      <c r="AGU46" s="473"/>
      <c r="AGV46" s="473"/>
      <c r="AGW46" s="473"/>
      <c r="AGX46" s="473"/>
      <c r="AGY46" s="473"/>
      <c r="AGZ46" s="473"/>
      <c r="AHA46" s="473"/>
      <c r="AHB46" s="473"/>
      <c r="AHC46" s="473"/>
      <c r="AHD46" s="473"/>
      <c r="AHE46" s="473"/>
      <c r="AHF46" s="473"/>
      <c r="AHG46" s="473"/>
      <c r="AHH46" s="473"/>
      <c r="AHI46" s="473"/>
      <c r="AHJ46" s="473"/>
      <c r="AHK46" s="473"/>
      <c r="AHL46" s="473"/>
      <c r="AHM46" s="473"/>
      <c r="AHN46" s="473"/>
      <c r="AHO46" s="473"/>
      <c r="AHP46" s="473"/>
      <c r="AHQ46" s="473"/>
      <c r="AHR46" s="473"/>
      <c r="AHS46" s="473"/>
      <c r="AHT46" s="473"/>
      <c r="AHU46" s="473"/>
      <c r="AHV46" s="473"/>
      <c r="AHW46" s="473"/>
      <c r="AHX46" s="473"/>
      <c r="AHY46" s="473"/>
      <c r="AHZ46" s="473"/>
      <c r="AIA46" s="473"/>
      <c r="AIB46" s="473"/>
      <c r="AIC46" s="473"/>
      <c r="AID46" s="473"/>
      <c r="AIE46" s="473"/>
      <c r="AIF46" s="473"/>
      <c r="AIG46" s="473"/>
      <c r="AIH46" s="473"/>
      <c r="AII46" s="473"/>
      <c r="AIJ46" s="473"/>
      <c r="AIK46" s="473"/>
      <c r="AIL46" s="473"/>
      <c r="AIM46" s="473"/>
      <c r="AIN46" s="473"/>
      <c r="AIO46" s="473"/>
      <c r="AIP46" s="473"/>
      <c r="AIQ46" s="473"/>
      <c r="AIR46" s="473"/>
      <c r="AIS46" s="473"/>
      <c r="AIT46" s="473"/>
      <c r="AIU46" s="473"/>
      <c r="AIV46" s="473"/>
      <c r="AIW46" s="473"/>
      <c r="AIX46" s="473"/>
      <c r="AIY46" s="473"/>
      <c r="AIZ46" s="473"/>
      <c r="AJA46" s="473"/>
      <c r="AJB46" s="473"/>
      <c r="AJC46" s="473"/>
      <c r="AJD46" s="473"/>
      <c r="AJE46" s="473"/>
      <c r="AJF46" s="473"/>
      <c r="AJG46" s="473"/>
      <c r="AJH46" s="473"/>
      <c r="AJI46" s="473"/>
      <c r="AJJ46" s="473"/>
      <c r="AJK46" s="473"/>
      <c r="AJL46" s="473"/>
      <c r="AJM46" s="473"/>
      <c r="AJN46" s="473"/>
      <c r="AJO46" s="473"/>
      <c r="AJP46" s="473"/>
      <c r="AJQ46" s="473"/>
      <c r="AJR46" s="473"/>
      <c r="AJS46" s="473"/>
      <c r="AJT46" s="473"/>
      <c r="AJU46" s="473"/>
      <c r="AJV46" s="473"/>
      <c r="AJW46" s="473"/>
      <c r="AJX46" s="473"/>
      <c r="AJY46" s="473"/>
      <c r="AJZ46" s="473"/>
      <c r="AKA46" s="473"/>
      <c r="AKB46" s="473"/>
      <c r="AKC46" s="473"/>
      <c r="AKD46" s="473"/>
      <c r="AKE46" s="473"/>
      <c r="AKF46" s="473"/>
      <c r="AKG46" s="473"/>
      <c r="AKH46" s="473"/>
      <c r="AKI46" s="473"/>
      <c r="AKJ46" s="473"/>
      <c r="AKK46" s="473"/>
      <c r="AKL46" s="473"/>
      <c r="AKM46" s="473"/>
      <c r="AKN46" s="473"/>
      <c r="AKO46" s="473"/>
      <c r="AKP46" s="473"/>
      <c r="AKQ46" s="473"/>
      <c r="AKR46" s="473"/>
      <c r="AKS46" s="473"/>
      <c r="AKT46" s="473"/>
      <c r="AKU46" s="473"/>
      <c r="AKV46" s="473"/>
      <c r="AKW46" s="473"/>
      <c r="AKX46" s="473"/>
      <c r="AKY46" s="473"/>
      <c r="AKZ46" s="473"/>
      <c r="ALA46" s="473"/>
      <c r="ALB46" s="473"/>
      <c r="ALC46" s="473"/>
      <c r="ALD46" s="473"/>
      <c r="ALE46" s="473"/>
      <c r="ALF46" s="473"/>
      <c r="ALG46" s="473"/>
      <c r="ALH46" s="473"/>
      <c r="ALI46" s="473"/>
      <c r="ALJ46" s="473"/>
      <c r="ALK46" s="473"/>
      <c r="ALL46" s="473"/>
      <c r="ALM46" s="473"/>
      <c r="ALN46" s="473"/>
      <c r="ALO46" s="473"/>
      <c r="ALP46" s="473"/>
      <c r="ALQ46" s="473"/>
      <c r="ALR46" s="473"/>
      <c r="ALS46" s="473"/>
      <c r="ALT46" s="473"/>
      <c r="ALU46" s="473"/>
      <c r="ALV46" s="473"/>
      <c r="ALW46" s="473"/>
      <c r="ALX46" s="473"/>
      <c r="ALY46" s="473"/>
      <c r="ALZ46" s="473"/>
      <c r="AMA46" s="473"/>
      <c r="AMB46" s="473"/>
      <c r="AMC46" s="473"/>
      <c r="AMD46" s="473"/>
      <c r="AME46" s="473"/>
      <c r="AMF46" s="473"/>
      <c r="AMG46" s="473"/>
      <c r="AMH46" s="473"/>
      <c r="AMI46" s="473"/>
      <c r="AMJ46" s="473"/>
      <c r="AMK46" s="473"/>
      <c r="AML46" s="473"/>
      <c r="AMM46" s="473"/>
      <c r="AMN46" s="473"/>
      <c r="AMO46" s="473"/>
      <c r="AMP46" s="473"/>
      <c r="AMQ46" s="473"/>
      <c r="AMR46" s="473"/>
      <c r="AMS46" s="473"/>
      <c r="AMT46" s="473"/>
      <c r="AMU46" s="473"/>
      <c r="AMV46" s="473"/>
      <c r="AMW46" s="473"/>
      <c r="AMX46" s="473"/>
      <c r="AMY46" s="473"/>
      <c r="AMZ46" s="473"/>
      <c r="ANA46" s="473"/>
      <c r="ANB46" s="473"/>
      <c r="ANC46" s="473"/>
      <c r="AND46" s="473"/>
      <c r="ANE46" s="473"/>
      <c r="ANF46" s="473"/>
      <c r="ANG46" s="473"/>
      <c r="ANH46" s="473"/>
      <c r="ANI46" s="473"/>
      <c r="ANJ46" s="473"/>
      <c r="ANK46" s="473"/>
      <c r="ANL46" s="473"/>
      <c r="ANM46" s="473"/>
      <c r="ANN46" s="473"/>
      <c r="ANO46" s="473"/>
      <c r="ANP46" s="473"/>
      <c r="ANQ46" s="473"/>
      <c r="ANR46" s="473"/>
      <c r="ANS46" s="473"/>
      <c r="ANT46" s="473"/>
      <c r="ANU46" s="473"/>
      <c r="ANV46" s="473"/>
      <c r="ANW46" s="473"/>
      <c r="ANX46" s="473"/>
      <c r="ANY46" s="473"/>
      <c r="ANZ46" s="473"/>
      <c r="AOA46" s="473"/>
      <c r="AOB46" s="473"/>
      <c r="AOC46" s="473"/>
      <c r="AOD46" s="473"/>
      <c r="AOE46" s="473"/>
      <c r="AOF46" s="473"/>
      <c r="AOG46" s="473"/>
      <c r="AOH46" s="473"/>
      <c r="AOI46" s="473"/>
      <c r="AOJ46" s="473"/>
      <c r="AOK46" s="473"/>
      <c r="AOL46" s="473"/>
      <c r="AOM46" s="473"/>
      <c r="AON46" s="473"/>
      <c r="AOO46" s="473"/>
      <c r="AOP46" s="473"/>
      <c r="AOQ46" s="473"/>
      <c r="AOR46" s="473"/>
      <c r="AOS46" s="473"/>
      <c r="AOT46" s="473"/>
      <c r="AOU46" s="473"/>
      <c r="AOV46" s="473"/>
      <c r="AOW46" s="473"/>
      <c r="AOX46" s="473"/>
      <c r="AOY46" s="473"/>
      <c r="AOZ46" s="473"/>
      <c r="APA46" s="473"/>
      <c r="APB46" s="473"/>
      <c r="APC46" s="473"/>
      <c r="APD46" s="473"/>
      <c r="APE46" s="473"/>
      <c r="APF46" s="473"/>
      <c r="APG46" s="473"/>
      <c r="APH46" s="473"/>
      <c r="API46" s="473"/>
      <c r="APJ46" s="473"/>
      <c r="APK46" s="473"/>
      <c r="APL46" s="473"/>
      <c r="APM46" s="473"/>
      <c r="APN46" s="473"/>
      <c r="APO46" s="473"/>
      <c r="APP46" s="473"/>
      <c r="APQ46" s="473"/>
      <c r="APR46" s="473"/>
      <c r="APS46" s="473"/>
      <c r="APT46" s="473"/>
      <c r="APU46" s="473"/>
      <c r="APV46" s="473"/>
      <c r="APW46" s="473"/>
      <c r="APX46" s="473"/>
      <c r="APY46" s="473"/>
      <c r="APZ46" s="473"/>
      <c r="AQA46" s="473"/>
      <c r="AQB46" s="473"/>
      <c r="AQC46" s="473"/>
      <c r="AQD46" s="473"/>
      <c r="AQE46" s="473"/>
      <c r="AQF46" s="473"/>
      <c r="AQG46" s="473"/>
      <c r="AQH46" s="473"/>
      <c r="AQI46" s="473"/>
      <c r="AQJ46" s="473"/>
      <c r="AQK46" s="473"/>
      <c r="AQL46" s="473"/>
      <c r="AQM46" s="473"/>
      <c r="AQN46" s="473"/>
      <c r="AQO46" s="473"/>
      <c r="AQP46" s="473"/>
      <c r="AQQ46" s="473"/>
      <c r="AQR46" s="473"/>
      <c r="AQS46" s="473"/>
      <c r="AQT46" s="473"/>
      <c r="AQU46" s="473"/>
      <c r="AQV46" s="473"/>
      <c r="AQW46" s="473"/>
      <c r="AQX46" s="473"/>
      <c r="AQY46" s="473"/>
      <c r="AQZ46" s="473"/>
      <c r="ARA46" s="473"/>
      <c r="ARB46" s="473"/>
      <c r="ARC46" s="473"/>
      <c r="ARD46" s="473"/>
      <c r="ARE46" s="473"/>
      <c r="ARF46" s="473"/>
      <c r="ARG46" s="473"/>
      <c r="ARH46" s="473"/>
      <c r="ARI46" s="473"/>
      <c r="ARJ46" s="473"/>
      <c r="ARK46" s="473"/>
      <c r="ARL46" s="473"/>
      <c r="ARM46" s="473"/>
      <c r="ARN46" s="473"/>
      <c r="ARO46" s="473"/>
      <c r="ARP46" s="473"/>
      <c r="ARQ46" s="473"/>
      <c r="ARR46" s="473"/>
      <c r="ARS46" s="473"/>
      <c r="ART46" s="473"/>
      <c r="ARU46" s="473"/>
      <c r="ARV46" s="473"/>
      <c r="ARW46" s="473"/>
      <c r="ARX46" s="473"/>
      <c r="ARY46" s="473"/>
      <c r="ARZ46" s="473"/>
      <c r="ASA46" s="473"/>
      <c r="ASB46" s="473"/>
      <c r="ASC46" s="473"/>
      <c r="ASD46" s="473"/>
      <c r="ASE46" s="473"/>
      <c r="ASF46" s="473"/>
      <c r="ASG46" s="473"/>
      <c r="ASH46" s="473"/>
      <c r="ASI46" s="473"/>
      <c r="ASJ46" s="473"/>
      <c r="ASK46" s="473"/>
      <c r="ASL46" s="473"/>
      <c r="ASM46" s="473"/>
      <c r="ASN46" s="473"/>
      <c r="ASO46" s="473"/>
      <c r="ASP46" s="473"/>
      <c r="ASQ46" s="473"/>
      <c r="ASR46" s="473"/>
      <c r="ASS46" s="473"/>
      <c r="AST46" s="473"/>
      <c r="ASU46" s="473"/>
      <c r="ASV46" s="473"/>
      <c r="ASW46" s="473"/>
      <c r="ASX46" s="473"/>
      <c r="ASY46" s="473"/>
      <c r="ASZ46" s="473"/>
      <c r="ATA46" s="473"/>
      <c r="ATB46" s="473"/>
      <c r="ATC46" s="473"/>
      <c r="ATD46" s="473"/>
      <c r="ATE46" s="473"/>
      <c r="ATF46" s="473"/>
      <c r="ATG46" s="473"/>
      <c r="ATH46" s="473"/>
      <c r="ATI46" s="473"/>
      <c r="ATJ46" s="473"/>
      <c r="ATK46" s="473"/>
      <c r="ATL46" s="473"/>
      <c r="ATM46" s="473"/>
      <c r="ATN46" s="473"/>
      <c r="ATO46" s="473"/>
      <c r="ATP46" s="473"/>
      <c r="ATQ46" s="473"/>
      <c r="ATR46" s="473"/>
      <c r="ATS46" s="473"/>
      <c r="ATT46" s="473"/>
      <c r="ATU46" s="473"/>
      <c r="ATV46" s="473"/>
      <c r="ATW46" s="473"/>
      <c r="ATX46" s="473"/>
      <c r="ATY46" s="473"/>
      <c r="ATZ46" s="473"/>
      <c r="AUA46" s="473"/>
      <c r="AUB46" s="473"/>
      <c r="AUC46" s="473"/>
      <c r="AUD46" s="473"/>
      <c r="AUE46" s="473"/>
      <c r="AUF46" s="473"/>
      <c r="AUG46" s="473"/>
      <c r="AUH46" s="473"/>
      <c r="AUI46" s="473"/>
      <c r="AUJ46" s="473"/>
      <c r="AUK46" s="473"/>
      <c r="AUL46" s="473"/>
      <c r="AUM46" s="473"/>
      <c r="AUN46" s="473"/>
      <c r="AUO46" s="473"/>
      <c r="AUP46" s="473"/>
      <c r="AUQ46" s="473"/>
      <c r="AUR46" s="473"/>
      <c r="AUS46" s="473"/>
      <c r="AUT46" s="473"/>
      <c r="AUU46" s="473"/>
      <c r="AUV46" s="473"/>
      <c r="AUW46" s="473"/>
      <c r="AUX46" s="473"/>
      <c r="AUY46" s="473"/>
      <c r="AUZ46" s="473"/>
      <c r="AVA46" s="473"/>
      <c r="AVB46" s="473"/>
      <c r="AVC46" s="473"/>
      <c r="AVD46" s="473"/>
      <c r="AVE46" s="473"/>
      <c r="AVF46" s="473"/>
      <c r="AVG46" s="473"/>
      <c r="AVH46" s="473"/>
      <c r="AVI46" s="473"/>
      <c r="AVJ46" s="473"/>
      <c r="AVK46" s="473"/>
      <c r="AVL46" s="473"/>
      <c r="AVM46" s="473"/>
      <c r="AVN46" s="473"/>
      <c r="AVO46" s="473"/>
      <c r="AVP46" s="473"/>
      <c r="AVQ46" s="473"/>
      <c r="AVR46" s="473"/>
      <c r="AVS46" s="473"/>
      <c r="AVT46" s="473"/>
      <c r="AVU46" s="473"/>
      <c r="AVV46" s="473"/>
      <c r="AVW46" s="473"/>
      <c r="AVX46" s="473"/>
      <c r="AVY46" s="473"/>
      <c r="AVZ46" s="473"/>
      <c r="AWA46" s="473"/>
      <c r="AWB46" s="473"/>
      <c r="AWC46" s="473"/>
      <c r="AWD46" s="473"/>
      <c r="AWE46" s="473"/>
      <c r="AWF46" s="473"/>
      <c r="AWG46" s="473"/>
      <c r="AWH46" s="473"/>
      <c r="AWI46" s="473"/>
      <c r="AWJ46" s="473"/>
      <c r="AWK46" s="473"/>
      <c r="AWL46" s="473"/>
      <c r="AWM46" s="473"/>
      <c r="AWN46" s="473"/>
      <c r="AWO46" s="473"/>
      <c r="AWP46" s="473"/>
      <c r="AWQ46" s="473"/>
      <c r="AWR46" s="473"/>
      <c r="AWS46" s="473"/>
      <c r="AWT46" s="473"/>
      <c r="AWU46" s="473"/>
      <c r="AWV46" s="473"/>
      <c r="AWW46" s="473"/>
      <c r="AWX46" s="473"/>
      <c r="AWY46" s="473"/>
      <c r="AWZ46" s="473"/>
      <c r="AXA46" s="473"/>
      <c r="AXB46" s="473"/>
      <c r="AXC46" s="473"/>
      <c r="AXD46" s="473"/>
      <c r="AXE46" s="473"/>
      <c r="AXF46" s="473"/>
      <c r="AXG46" s="473"/>
      <c r="AXH46" s="473"/>
      <c r="AXI46" s="473"/>
      <c r="AXJ46" s="473"/>
      <c r="AXK46" s="473"/>
      <c r="AXL46" s="473"/>
      <c r="AXM46" s="473"/>
      <c r="AXN46" s="473"/>
      <c r="AXO46" s="473"/>
      <c r="AXP46" s="473"/>
      <c r="AXQ46" s="473"/>
      <c r="AXR46" s="473"/>
      <c r="AXS46" s="473"/>
      <c r="AXT46" s="473"/>
      <c r="AXU46" s="473"/>
      <c r="AXV46" s="473"/>
      <c r="AXW46" s="473"/>
      <c r="AXX46" s="473"/>
      <c r="AXY46" s="473"/>
      <c r="AXZ46" s="473"/>
      <c r="AYA46" s="473"/>
      <c r="AYB46" s="473"/>
      <c r="AYC46" s="473"/>
      <c r="AYD46" s="473"/>
      <c r="AYE46" s="473"/>
      <c r="AYF46" s="473"/>
      <c r="AYG46" s="473"/>
      <c r="AYH46" s="473"/>
      <c r="AYI46" s="473"/>
      <c r="AYJ46" s="473"/>
      <c r="AYK46" s="473"/>
      <c r="AYL46" s="473"/>
      <c r="AYM46" s="473"/>
      <c r="AYN46" s="473"/>
      <c r="AYO46" s="473"/>
      <c r="AYP46" s="473"/>
      <c r="AYQ46" s="473"/>
      <c r="AYR46" s="473"/>
      <c r="AYS46" s="473"/>
      <c r="AYT46" s="473"/>
      <c r="AYU46" s="473"/>
      <c r="AYV46" s="473"/>
      <c r="AYW46" s="473"/>
      <c r="AYX46" s="473"/>
      <c r="AYY46" s="473"/>
      <c r="AYZ46" s="473"/>
      <c r="AZA46" s="473"/>
      <c r="AZB46" s="473"/>
      <c r="AZC46" s="473"/>
      <c r="AZD46" s="473"/>
      <c r="AZE46" s="473"/>
      <c r="AZF46" s="473"/>
      <c r="AZG46" s="473"/>
      <c r="AZH46" s="473"/>
      <c r="AZI46" s="473"/>
      <c r="AZJ46" s="473"/>
      <c r="AZK46" s="473"/>
      <c r="AZL46" s="473"/>
      <c r="AZM46" s="473"/>
      <c r="AZN46" s="473"/>
      <c r="AZO46" s="473"/>
      <c r="AZP46" s="473"/>
      <c r="AZQ46" s="473"/>
      <c r="AZR46" s="473"/>
      <c r="AZS46" s="473"/>
      <c r="AZT46" s="473"/>
      <c r="AZU46" s="473"/>
      <c r="AZV46" s="473"/>
      <c r="AZW46" s="473"/>
      <c r="AZX46" s="473"/>
      <c r="AZY46" s="473"/>
      <c r="AZZ46" s="473"/>
      <c r="BAA46" s="473"/>
      <c r="BAB46" s="473"/>
      <c r="BAC46" s="473"/>
      <c r="BAD46" s="473"/>
      <c r="BAE46" s="473"/>
      <c r="BAF46" s="473"/>
      <c r="BAG46" s="473"/>
      <c r="BAH46" s="473"/>
      <c r="BAI46" s="473"/>
      <c r="BAJ46" s="473"/>
      <c r="BAK46" s="473"/>
      <c r="BAL46" s="473"/>
      <c r="BAM46" s="473"/>
      <c r="BAN46" s="473"/>
      <c r="BAO46" s="473"/>
      <c r="BAP46" s="473"/>
      <c r="BAQ46" s="473"/>
      <c r="BAR46" s="473"/>
      <c r="BAS46" s="473"/>
      <c r="BAT46" s="473"/>
      <c r="BAU46" s="473"/>
      <c r="BAV46" s="473"/>
      <c r="BAW46" s="473"/>
      <c r="BAX46" s="473"/>
      <c r="BAY46" s="473"/>
      <c r="BAZ46" s="473"/>
      <c r="BBA46" s="473"/>
      <c r="BBB46" s="473"/>
      <c r="BBC46" s="473"/>
      <c r="BBD46" s="473"/>
      <c r="BBE46" s="473"/>
      <c r="BBF46" s="473"/>
      <c r="BBG46" s="473"/>
      <c r="BBH46" s="473"/>
      <c r="BBI46" s="473"/>
      <c r="BBJ46" s="473"/>
      <c r="BBK46" s="473"/>
      <c r="BBL46" s="473"/>
      <c r="BBM46" s="473"/>
      <c r="BBN46" s="473"/>
      <c r="BBO46" s="473"/>
      <c r="BBP46" s="473"/>
      <c r="BBQ46" s="473"/>
      <c r="BBR46" s="473"/>
      <c r="BBS46" s="473"/>
      <c r="BBT46" s="473"/>
      <c r="BBU46" s="473"/>
      <c r="BBV46" s="473"/>
      <c r="BBW46" s="473"/>
      <c r="BBX46" s="473"/>
      <c r="BBY46" s="473"/>
      <c r="BBZ46" s="473"/>
      <c r="BCA46" s="473"/>
      <c r="BCB46" s="473"/>
      <c r="BCC46" s="473"/>
      <c r="BCD46" s="473"/>
      <c r="BCE46" s="473"/>
      <c r="BCF46" s="473"/>
      <c r="BCG46" s="473"/>
      <c r="BCH46" s="473"/>
      <c r="BCI46" s="473"/>
      <c r="BCJ46" s="473"/>
      <c r="BCK46" s="473"/>
      <c r="BCL46" s="473"/>
      <c r="BCM46" s="473"/>
      <c r="BCN46" s="473"/>
      <c r="BCO46" s="473"/>
      <c r="BCP46" s="473"/>
      <c r="BCQ46" s="473"/>
      <c r="BCR46" s="473"/>
      <c r="BCS46" s="473"/>
      <c r="BCT46" s="473"/>
      <c r="BCU46" s="473"/>
      <c r="BCV46" s="473"/>
      <c r="BCW46" s="473"/>
      <c r="BCX46" s="473"/>
      <c r="BCY46" s="473"/>
      <c r="BCZ46" s="473"/>
      <c r="BDA46" s="473"/>
      <c r="BDB46" s="473"/>
      <c r="BDC46" s="473"/>
      <c r="BDD46" s="473"/>
      <c r="BDE46" s="473"/>
      <c r="BDF46" s="473"/>
      <c r="BDG46" s="473"/>
      <c r="BDH46" s="473"/>
      <c r="BDI46" s="473"/>
      <c r="BDJ46" s="473"/>
      <c r="BDK46" s="473"/>
      <c r="BDL46" s="473"/>
      <c r="BDM46" s="473"/>
      <c r="BDN46" s="473"/>
      <c r="BDO46" s="473"/>
      <c r="BDP46" s="473"/>
      <c r="BDQ46" s="473"/>
      <c r="BDR46" s="473"/>
      <c r="BDS46" s="473"/>
      <c r="BDT46" s="473"/>
      <c r="BDU46" s="473"/>
      <c r="BDV46" s="473"/>
      <c r="BDW46" s="473"/>
      <c r="BDX46" s="473"/>
      <c r="BDY46" s="473"/>
      <c r="BDZ46" s="473"/>
      <c r="BEA46" s="473"/>
      <c r="BEB46" s="473"/>
      <c r="BEC46" s="473"/>
      <c r="BED46" s="473"/>
      <c r="BEE46" s="473"/>
      <c r="BEF46" s="473"/>
      <c r="BEG46" s="473"/>
      <c r="BEH46" s="473"/>
      <c r="BEI46" s="473"/>
      <c r="BEJ46" s="473"/>
      <c r="BEK46" s="473"/>
      <c r="BEL46" s="473"/>
      <c r="BEM46" s="473"/>
      <c r="BEN46" s="473"/>
      <c r="BEO46" s="473"/>
      <c r="BEP46" s="473"/>
      <c r="BEQ46" s="473"/>
      <c r="BER46" s="473"/>
      <c r="BES46" s="473"/>
      <c r="BET46" s="473"/>
      <c r="BEU46" s="473"/>
      <c r="BEV46" s="473"/>
      <c r="BEW46" s="473"/>
      <c r="BEX46" s="473"/>
      <c r="BEY46" s="473"/>
      <c r="BEZ46" s="473"/>
      <c r="BFA46" s="473"/>
      <c r="BFB46" s="473"/>
      <c r="BFC46" s="473"/>
      <c r="BFD46" s="473"/>
      <c r="BFE46" s="473"/>
      <c r="BFF46" s="473"/>
      <c r="BFG46" s="473"/>
      <c r="BFH46" s="473"/>
      <c r="BFI46" s="473"/>
      <c r="BFJ46" s="473"/>
      <c r="BFK46" s="473"/>
      <c r="BFL46" s="473"/>
      <c r="BFM46" s="473"/>
      <c r="BFN46" s="473"/>
      <c r="BFO46" s="473"/>
      <c r="BFP46" s="473"/>
      <c r="BFQ46" s="473"/>
      <c r="BFR46" s="473"/>
      <c r="BFS46" s="473"/>
      <c r="BFT46" s="473"/>
      <c r="BFU46" s="473"/>
      <c r="BFV46" s="473"/>
      <c r="BFW46" s="473"/>
      <c r="BFX46" s="473"/>
      <c r="BFY46" s="473"/>
      <c r="BFZ46" s="473"/>
      <c r="BGA46" s="473"/>
      <c r="BGB46" s="473"/>
      <c r="BGC46" s="473"/>
      <c r="BGD46" s="473"/>
      <c r="BGE46" s="473"/>
      <c r="BGF46" s="473"/>
      <c r="BGG46" s="473"/>
      <c r="BGH46" s="473"/>
      <c r="BGI46" s="473"/>
      <c r="BGJ46" s="473"/>
      <c r="BGK46" s="473"/>
      <c r="BGL46" s="473"/>
      <c r="BGM46" s="473"/>
      <c r="BGN46" s="473"/>
      <c r="BGO46" s="473"/>
      <c r="BGP46" s="473"/>
      <c r="BGQ46" s="473"/>
      <c r="BGR46" s="473"/>
      <c r="BGS46" s="473"/>
      <c r="BGT46" s="473"/>
      <c r="BGU46" s="473"/>
      <c r="BGV46" s="473"/>
      <c r="BGW46" s="473"/>
      <c r="BGX46" s="473"/>
      <c r="BGY46" s="473"/>
      <c r="BGZ46" s="473"/>
      <c r="BHA46" s="473"/>
      <c r="BHB46" s="473"/>
      <c r="BHC46" s="473"/>
      <c r="BHD46" s="473"/>
      <c r="BHE46" s="473"/>
      <c r="BHF46" s="473"/>
      <c r="BHG46" s="473"/>
      <c r="BHH46" s="473"/>
      <c r="BHI46" s="473"/>
      <c r="BHJ46" s="473"/>
      <c r="BHK46" s="473"/>
      <c r="BHL46" s="473"/>
      <c r="BHM46" s="473"/>
      <c r="BHN46" s="473"/>
      <c r="BHO46" s="473"/>
      <c r="BHP46" s="473"/>
      <c r="BHQ46" s="473"/>
      <c r="BHR46" s="473"/>
      <c r="BHS46" s="473"/>
      <c r="BHT46" s="473"/>
      <c r="BHU46" s="473"/>
      <c r="BHV46" s="473"/>
      <c r="BHW46" s="473"/>
      <c r="BHX46" s="473"/>
      <c r="BHY46" s="473"/>
      <c r="BHZ46" s="473"/>
      <c r="BIA46" s="473"/>
      <c r="BIB46" s="473"/>
      <c r="BIC46" s="473"/>
      <c r="BID46" s="473"/>
      <c r="BIE46" s="473"/>
      <c r="BIF46" s="473"/>
      <c r="BIG46" s="473"/>
      <c r="BIH46" s="473"/>
      <c r="BII46" s="473"/>
      <c r="BIJ46" s="473"/>
      <c r="BIK46" s="473"/>
      <c r="BIL46" s="473"/>
      <c r="BIM46" s="473"/>
      <c r="BIN46" s="473"/>
      <c r="BIO46" s="473"/>
      <c r="BIP46" s="473"/>
      <c r="BIQ46" s="473"/>
      <c r="BIR46" s="473"/>
      <c r="BIS46" s="473"/>
      <c r="BIT46" s="473"/>
      <c r="BIU46" s="473"/>
      <c r="BIV46" s="473"/>
      <c r="BIW46" s="473"/>
      <c r="BIX46" s="473"/>
      <c r="BIY46" s="473"/>
      <c r="BIZ46" s="473"/>
      <c r="BJA46" s="473"/>
      <c r="BJB46" s="473"/>
      <c r="BJC46" s="473"/>
      <c r="BJD46" s="473"/>
      <c r="BJE46" s="473"/>
      <c r="BJF46" s="473"/>
      <c r="BJG46" s="473"/>
      <c r="BJH46" s="473"/>
      <c r="BJI46" s="473"/>
      <c r="BJJ46" s="473"/>
      <c r="BJK46" s="473"/>
      <c r="BJL46" s="473"/>
      <c r="BJM46" s="473"/>
      <c r="BJN46" s="473"/>
      <c r="BJO46" s="473"/>
      <c r="BJP46" s="473"/>
      <c r="BJQ46" s="473"/>
      <c r="BJR46" s="473"/>
      <c r="BJS46" s="473"/>
      <c r="BJT46" s="473"/>
      <c r="BJU46" s="473"/>
      <c r="BJV46" s="473"/>
      <c r="BJW46" s="473"/>
      <c r="BJX46" s="473"/>
      <c r="BJY46" s="473"/>
      <c r="BJZ46" s="473"/>
      <c r="BKA46" s="473"/>
      <c r="BKB46" s="473"/>
      <c r="BKC46" s="473"/>
      <c r="BKD46" s="473"/>
      <c r="BKE46" s="473"/>
      <c r="BKF46" s="473"/>
      <c r="BKG46" s="473"/>
      <c r="BKH46" s="473"/>
      <c r="BKI46" s="473"/>
      <c r="BKJ46" s="473"/>
      <c r="BKK46" s="473"/>
      <c r="BKL46" s="473"/>
      <c r="BKM46" s="473"/>
      <c r="BKN46" s="473"/>
      <c r="BKO46" s="473"/>
      <c r="BKP46" s="473"/>
      <c r="BKQ46" s="473"/>
      <c r="BKR46" s="473"/>
      <c r="BKS46" s="473"/>
      <c r="BKT46" s="473"/>
      <c r="BKU46" s="473"/>
      <c r="BKV46" s="473"/>
      <c r="BKW46" s="473"/>
      <c r="BKX46" s="473"/>
      <c r="BKY46" s="473"/>
      <c r="BKZ46" s="473"/>
      <c r="BLA46" s="473"/>
      <c r="BLB46" s="473"/>
      <c r="BLC46" s="473"/>
      <c r="BLD46" s="473"/>
      <c r="BLE46" s="473"/>
      <c r="BLF46" s="473"/>
      <c r="BLG46" s="473"/>
      <c r="BLH46" s="473"/>
      <c r="BLI46" s="473"/>
      <c r="BLJ46" s="473"/>
      <c r="BLK46" s="473"/>
      <c r="BLL46" s="473"/>
      <c r="BLM46" s="473"/>
      <c r="BLN46" s="473"/>
      <c r="BLO46" s="473"/>
      <c r="BLP46" s="473"/>
      <c r="BLQ46" s="473"/>
      <c r="BLR46" s="473"/>
      <c r="BLS46" s="473"/>
      <c r="BLT46" s="473"/>
      <c r="BLU46" s="473"/>
      <c r="BLV46" s="473"/>
      <c r="BLW46" s="473"/>
      <c r="BLX46" s="473"/>
      <c r="BLY46" s="473"/>
      <c r="BLZ46" s="473"/>
      <c r="BMA46" s="473"/>
      <c r="BMB46" s="473"/>
      <c r="BMC46" s="473"/>
      <c r="BMD46" s="473"/>
      <c r="BME46" s="473"/>
      <c r="BMF46" s="473"/>
      <c r="BMG46" s="473"/>
      <c r="BMH46" s="473"/>
      <c r="BMI46" s="473"/>
      <c r="BMJ46" s="473"/>
      <c r="BMK46" s="473"/>
      <c r="BML46" s="473"/>
      <c r="BMM46" s="473"/>
      <c r="BMN46" s="473"/>
      <c r="BMO46" s="473"/>
      <c r="BMP46" s="473"/>
      <c r="BMQ46" s="473"/>
      <c r="BMR46" s="473"/>
      <c r="BMS46" s="473"/>
      <c r="BMT46" s="473"/>
      <c r="BMU46" s="473"/>
      <c r="BMV46" s="473"/>
      <c r="BMW46" s="473"/>
      <c r="BMX46" s="473"/>
      <c r="BMY46" s="473"/>
      <c r="BMZ46" s="473"/>
      <c r="BNA46" s="473"/>
      <c r="BNB46" s="473"/>
      <c r="BNC46" s="473"/>
      <c r="BND46" s="473"/>
      <c r="BNE46" s="473"/>
      <c r="BNF46" s="473"/>
      <c r="BNG46" s="473"/>
      <c r="BNH46" s="473"/>
      <c r="BNI46" s="473"/>
      <c r="BNJ46" s="473"/>
      <c r="BNK46" s="473"/>
      <c r="BNL46" s="473"/>
      <c r="BNM46" s="473"/>
      <c r="BNN46" s="473"/>
      <c r="BNO46" s="473"/>
      <c r="BNP46" s="473"/>
      <c r="BNQ46" s="473"/>
      <c r="BNR46" s="473"/>
      <c r="BNS46" s="473"/>
      <c r="BNT46" s="473"/>
      <c r="BNU46" s="473"/>
      <c r="BNV46" s="473"/>
      <c r="BNW46" s="473"/>
      <c r="BNX46" s="473"/>
      <c r="BNY46" s="473"/>
      <c r="BNZ46" s="473"/>
      <c r="BOA46" s="473"/>
      <c r="BOB46" s="473"/>
      <c r="BOC46" s="473"/>
      <c r="BOD46" s="473"/>
      <c r="BOE46" s="473"/>
      <c r="BOF46" s="473"/>
      <c r="BOG46" s="473"/>
      <c r="BOH46" s="473"/>
      <c r="BOI46" s="473"/>
      <c r="BOJ46" s="473"/>
      <c r="BOK46" s="473"/>
      <c r="BOL46" s="473"/>
      <c r="BOM46" s="473"/>
      <c r="BON46" s="473"/>
      <c r="BOO46" s="473"/>
      <c r="BOP46" s="473"/>
      <c r="BOQ46" s="473"/>
      <c r="BOR46" s="473"/>
      <c r="BOS46" s="473"/>
      <c r="BOT46" s="473"/>
      <c r="BOU46" s="473"/>
      <c r="BOV46" s="473"/>
      <c r="BOW46" s="473"/>
      <c r="BOX46" s="473"/>
      <c r="BOY46" s="473"/>
      <c r="BOZ46" s="473"/>
      <c r="BPA46" s="473"/>
      <c r="BPB46" s="473"/>
      <c r="BPC46" s="473"/>
      <c r="BPD46" s="473"/>
      <c r="BPE46" s="473"/>
      <c r="BPF46" s="473"/>
      <c r="BPG46" s="473"/>
      <c r="BPH46" s="473"/>
      <c r="BPI46" s="473"/>
      <c r="BPJ46" s="473"/>
      <c r="BPK46" s="473"/>
      <c r="BPL46" s="473"/>
      <c r="BPM46" s="473"/>
      <c r="BPN46" s="473"/>
      <c r="BPO46" s="473"/>
      <c r="BPP46" s="473"/>
      <c r="BPQ46" s="473"/>
      <c r="BPR46" s="473"/>
      <c r="BPS46" s="473"/>
      <c r="BPT46" s="473"/>
      <c r="BPU46" s="473"/>
      <c r="BPV46" s="473"/>
      <c r="BPW46" s="473"/>
      <c r="BPX46" s="473"/>
      <c r="BPY46" s="473"/>
      <c r="BPZ46" s="473"/>
      <c r="BQA46" s="473"/>
      <c r="BQB46" s="473"/>
      <c r="BQC46" s="473"/>
      <c r="BQD46" s="473"/>
      <c r="BQE46" s="473"/>
      <c r="BQF46" s="473"/>
      <c r="BQG46" s="473"/>
      <c r="BQH46" s="473"/>
      <c r="BQI46" s="473"/>
      <c r="BQJ46" s="473"/>
      <c r="BQK46" s="473"/>
      <c r="BQL46" s="473"/>
      <c r="BQM46" s="473"/>
      <c r="BQN46" s="473"/>
      <c r="BQO46" s="473"/>
      <c r="BQP46" s="473"/>
      <c r="BQQ46" s="473"/>
      <c r="BQR46" s="473"/>
      <c r="BQS46" s="473"/>
      <c r="BQT46" s="473"/>
      <c r="BQU46" s="473"/>
      <c r="BQV46" s="473"/>
      <c r="BQW46" s="473"/>
      <c r="BQX46" s="473"/>
      <c r="BQY46" s="473"/>
      <c r="BQZ46" s="473"/>
      <c r="BRA46" s="473"/>
      <c r="BRB46" s="473"/>
      <c r="BRC46" s="473"/>
      <c r="BRD46" s="473"/>
      <c r="BRE46" s="473"/>
      <c r="BRF46" s="473"/>
      <c r="BRG46" s="473"/>
      <c r="BRH46" s="473"/>
      <c r="BRI46" s="473"/>
      <c r="BRJ46" s="473"/>
      <c r="BRK46" s="473"/>
      <c r="BRL46" s="473"/>
      <c r="BRM46" s="473"/>
      <c r="BRN46" s="473"/>
      <c r="BRO46" s="473"/>
      <c r="BRP46" s="473"/>
      <c r="BRQ46" s="473"/>
      <c r="BRR46" s="473"/>
      <c r="BRS46" s="473"/>
      <c r="BRT46" s="473"/>
      <c r="BRU46" s="473"/>
      <c r="BRV46" s="473"/>
      <c r="BRW46" s="473"/>
      <c r="BRX46" s="473"/>
      <c r="BRY46" s="473"/>
      <c r="BRZ46" s="473"/>
      <c r="BSA46" s="473"/>
      <c r="BSB46" s="473"/>
      <c r="BSC46" s="473"/>
      <c r="BSD46" s="473"/>
      <c r="BSE46" s="473"/>
      <c r="BSF46" s="473"/>
      <c r="BSG46" s="473"/>
      <c r="BSH46" s="473"/>
      <c r="BSI46" s="473"/>
      <c r="BSJ46" s="473"/>
      <c r="BSK46" s="473"/>
      <c r="BSL46" s="473"/>
      <c r="BSM46" s="473"/>
      <c r="BSN46" s="473"/>
      <c r="BSO46" s="473"/>
      <c r="BSP46" s="473"/>
      <c r="BSQ46" s="473"/>
      <c r="BSR46" s="473"/>
      <c r="BSS46" s="473"/>
      <c r="BST46" s="473"/>
      <c r="BSU46" s="473"/>
      <c r="BSV46" s="473"/>
      <c r="BSW46" s="473"/>
      <c r="BSX46" s="473"/>
      <c r="BSY46" s="473"/>
      <c r="BSZ46" s="473"/>
      <c r="BTA46" s="473"/>
      <c r="BTB46" s="473"/>
      <c r="BTC46" s="473"/>
      <c r="BTD46" s="473"/>
      <c r="BTE46" s="473"/>
      <c r="BTF46" s="473"/>
      <c r="BTG46" s="473"/>
      <c r="BTH46" s="473"/>
      <c r="BTI46" s="473"/>
      <c r="BTJ46" s="473"/>
      <c r="BTK46" s="473"/>
      <c r="BTL46" s="473"/>
      <c r="BTM46" s="473"/>
      <c r="BTN46" s="473"/>
      <c r="BTO46" s="473"/>
      <c r="BTP46" s="473"/>
      <c r="BTQ46" s="473"/>
      <c r="BTR46" s="473"/>
      <c r="BTS46" s="473"/>
      <c r="BTT46" s="473"/>
      <c r="BTU46" s="473"/>
      <c r="BTV46" s="473"/>
      <c r="BTW46" s="473"/>
      <c r="BTX46" s="473"/>
      <c r="BTY46" s="473"/>
      <c r="BTZ46" s="473"/>
      <c r="BUA46" s="473"/>
      <c r="BUB46" s="473"/>
      <c r="BUC46" s="473"/>
      <c r="BUD46" s="473"/>
      <c r="BUE46" s="473"/>
      <c r="BUF46" s="473"/>
      <c r="BUG46" s="473"/>
      <c r="BUH46" s="473"/>
      <c r="BUI46" s="473"/>
      <c r="BUJ46" s="473"/>
      <c r="BUK46" s="473"/>
      <c r="BUL46" s="473"/>
      <c r="BUM46" s="473"/>
      <c r="BUN46" s="473"/>
      <c r="BUO46" s="473"/>
      <c r="BUP46" s="473"/>
      <c r="BUQ46" s="473"/>
      <c r="BUR46" s="473"/>
      <c r="BUS46" s="473"/>
      <c r="BUT46" s="473"/>
      <c r="BUU46" s="473"/>
      <c r="BUV46" s="473"/>
      <c r="BUW46" s="473"/>
      <c r="BUX46" s="473"/>
      <c r="BUY46" s="473"/>
      <c r="BUZ46" s="473"/>
      <c r="BVA46" s="473"/>
      <c r="BVB46" s="473"/>
      <c r="BVC46" s="473"/>
      <c r="BVD46" s="473"/>
      <c r="BVE46" s="473"/>
      <c r="BVF46" s="473"/>
      <c r="BVG46" s="473"/>
      <c r="BVH46" s="473"/>
      <c r="BVI46" s="473"/>
      <c r="BVJ46" s="473"/>
      <c r="BVK46" s="473"/>
      <c r="BVL46" s="473"/>
      <c r="BVM46" s="473"/>
      <c r="BVN46" s="473"/>
      <c r="BVO46" s="473"/>
      <c r="BVP46" s="473"/>
      <c r="BVQ46" s="473"/>
      <c r="BVR46" s="473"/>
      <c r="BVS46" s="473"/>
      <c r="BVT46" s="473"/>
      <c r="BVU46" s="473"/>
      <c r="BVV46" s="473"/>
      <c r="BVW46" s="473"/>
      <c r="BVX46" s="473"/>
      <c r="BVY46" s="473"/>
      <c r="BVZ46" s="473"/>
      <c r="BWA46" s="473"/>
      <c r="BWB46" s="473"/>
      <c r="BWC46" s="473"/>
      <c r="BWD46" s="473"/>
      <c r="BWE46" s="473"/>
      <c r="BWF46" s="473"/>
      <c r="BWG46" s="473"/>
      <c r="BWH46" s="473"/>
      <c r="BWI46" s="473"/>
      <c r="BWJ46" s="473"/>
      <c r="BWK46" s="473"/>
      <c r="BWL46" s="473"/>
      <c r="BWM46" s="473"/>
      <c r="BWN46" s="473"/>
      <c r="BWO46" s="473"/>
      <c r="BWP46" s="473"/>
      <c r="BWQ46" s="473"/>
      <c r="BWR46" s="473"/>
      <c r="BWS46" s="473"/>
      <c r="BWT46" s="473"/>
      <c r="BWU46" s="473"/>
      <c r="BWV46" s="473"/>
      <c r="BWW46" s="473"/>
      <c r="BWX46" s="473"/>
      <c r="BWY46" s="473"/>
      <c r="BWZ46" s="473"/>
      <c r="BXA46" s="473"/>
      <c r="BXB46" s="473"/>
      <c r="BXC46" s="473"/>
      <c r="BXD46" s="473"/>
      <c r="BXE46" s="473"/>
      <c r="BXF46" s="473"/>
      <c r="BXG46" s="473"/>
      <c r="BXH46" s="473"/>
      <c r="BXI46" s="473"/>
      <c r="BXJ46" s="473"/>
      <c r="BXK46" s="473"/>
      <c r="BXL46" s="473"/>
      <c r="BXM46" s="473"/>
      <c r="BXN46" s="473"/>
      <c r="BXO46" s="473"/>
      <c r="BXP46" s="473"/>
      <c r="BXQ46" s="473"/>
      <c r="BXR46" s="473"/>
      <c r="BXS46" s="473"/>
      <c r="BXT46" s="473"/>
      <c r="BXU46" s="473"/>
      <c r="BXV46" s="473"/>
      <c r="BXW46" s="473"/>
      <c r="BXX46" s="473"/>
      <c r="BXY46" s="473"/>
      <c r="BXZ46" s="473"/>
      <c r="BYA46" s="473"/>
      <c r="BYB46" s="473"/>
      <c r="BYC46" s="473"/>
      <c r="BYD46" s="473"/>
      <c r="BYE46" s="473"/>
      <c r="BYF46" s="473"/>
      <c r="BYG46" s="473"/>
      <c r="BYH46" s="473"/>
      <c r="BYI46" s="473"/>
      <c r="BYJ46" s="473"/>
      <c r="BYK46" s="473"/>
      <c r="BYL46" s="473"/>
      <c r="BYM46" s="473"/>
      <c r="BYN46" s="473"/>
      <c r="BYO46" s="473"/>
      <c r="BYP46" s="473"/>
      <c r="BYQ46" s="473"/>
      <c r="BYR46" s="473"/>
      <c r="BYS46" s="473"/>
      <c r="BYT46" s="473"/>
      <c r="BYU46" s="473"/>
      <c r="BYV46" s="473"/>
      <c r="BYW46" s="473"/>
      <c r="BYX46" s="473"/>
      <c r="BYY46" s="473"/>
      <c r="BYZ46" s="473"/>
      <c r="BZA46" s="473"/>
      <c r="BZB46" s="473"/>
      <c r="BZC46" s="473"/>
      <c r="BZD46" s="473"/>
      <c r="BZE46" s="473"/>
      <c r="BZF46" s="473"/>
      <c r="BZG46" s="473"/>
      <c r="BZH46" s="473"/>
      <c r="BZI46" s="473"/>
      <c r="BZJ46" s="473"/>
      <c r="BZK46" s="473"/>
      <c r="BZL46" s="473"/>
      <c r="BZM46" s="473"/>
      <c r="BZN46" s="473"/>
      <c r="BZO46" s="473"/>
      <c r="BZP46" s="473"/>
      <c r="BZQ46" s="473"/>
      <c r="BZR46" s="473"/>
      <c r="BZS46" s="473"/>
      <c r="BZT46" s="473"/>
      <c r="BZU46" s="473"/>
      <c r="BZV46" s="473"/>
      <c r="BZW46" s="473"/>
      <c r="BZX46" s="473"/>
      <c r="BZY46" s="473"/>
      <c r="BZZ46" s="473"/>
      <c r="CAA46" s="473"/>
      <c r="CAB46" s="473"/>
      <c r="CAC46" s="473"/>
      <c r="CAD46" s="473"/>
      <c r="CAE46" s="473"/>
      <c r="CAF46" s="473"/>
      <c r="CAG46" s="473"/>
      <c r="CAH46" s="473"/>
      <c r="CAI46" s="473"/>
      <c r="CAJ46" s="473"/>
      <c r="CAK46" s="473"/>
      <c r="CAL46" s="473"/>
      <c r="CAM46" s="473"/>
      <c r="CAN46" s="473"/>
      <c r="CAO46" s="473"/>
      <c r="CAP46" s="473"/>
      <c r="CAQ46" s="473"/>
      <c r="CAR46" s="473"/>
      <c r="CAS46" s="473"/>
      <c r="CAT46" s="473"/>
      <c r="CAU46" s="473"/>
      <c r="CAV46" s="473"/>
      <c r="CAW46" s="473"/>
      <c r="CAX46" s="473"/>
      <c r="CAY46" s="473"/>
      <c r="CAZ46" s="473"/>
      <c r="CBA46" s="473"/>
      <c r="CBB46" s="473"/>
      <c r="CBC46" s="473"/>
      <c r="CBD46" s="473"/>
      <c r="CBE46" s="473"/>
      <c r="CBF46" s="473"/>
      <c r="CBG46" s="473"/>
      <c r="CBH46" s="473"/>
      <c r="CBI46" s="473"/>
      <c r="CBJ46" s="473"/>
      <c r="CBK46" s="473"/>
      <c r="CBL46" s="473"/>
      <c r="CBM46" s="473"/>
      <c r="CBN46" s="473"/>
      <c r="CBO46" s="473"/>
      <c r="CBP46" s="473"/>
      <c r="CBQ46" s="473"/>
      <c r="CBR46" s="473"/>
      <c r="CBS46" s="473"/>
      <c r="CBT46" s="473"/>
      <c r="CBU46" s="473"/>
      <c r="CBV46" s="473"/>
      <c r="CBW46" s="473"/>
      <c r="CBX46" s="473"/>
      <c r="CBY46" s="473"/>
      <c r="CBZ46" s="473"/>
      <c r="CCA46" s="473"/>
      <c r="CCB46" s="473"/>
      <c r="CCC46" s="473"/>
      <c r="CCD46" s="473"/>
      <c r="CCE46" s="473"/>
      <c r="CCF46" s="473"/>
      <c r="CCG46" s="473"/>
      <c r="CCH46" s="473"/>
      <c r="CCI46" s="473"/>
      <c r="CCJ46" s="473"/>
      <c r="CCK46" s="473"/>
      <c r="CCL46" s="473"/>
      <c r="CCM46" s="473"/>
      <c r="CCN46" s="473"/>
      <c r="CCO46" s="473"/>
      <c r="CCP46" s="473"/>
      <c r="CCQ46" s="473"/>
      <c r="CCR46" s="473"/>
      <c r="CCS46" s="473"/>
      <c r="CCT46" s="473"/>
      <c r="CCU46" s="473"/>
      <c r="CCV46" s="473"/>
      <c r="CCW46" s="473"/>
      <c r="CCX46" s="473"/>
      <c r="CCY46" s="473"/>
      <c r="CCZ46" s="473"/>
      <c r="CDA46" s="473"/>
      <c r="CDB46" s="473"/>
      <c r="CDC46" s="473"/>
      <c r="CDD46" s="473"/>
      <c r="CDE46" s="473"/>
      <c r="CDF46" s="473"/>
      <c r="CDG46" s="473"/>
      <c r="CDH46" s="473"/>
      <c r="CDI46" s="473"/>
      <c r="CDJ46" s="473"/>
      <c r="CDK46" s="473"/>
      <c r="CDL46" s="473"/>
      <c r="CDM46" s="473"/>
      <c r="CDN46" s="473"/>
      <c r="CDO46" s="473"/>
      <c r="CDP46" s="473"/>
      <c r="CDQ46" s="473"/>
      <c r="CDR46" s="473"/>
      <c r="CDS46" s="473"/>
      <c r="CDT46" s="473"/>
      <c r="CDU46" s="473"/>
      <c r="CDV46" s="473"/>
      <c r="CDW46" s="473"/>
      <c r="CDX46" s="473"/>
      <c r="CDY46" s="473"/>
      <c r="CDZ46" s="473"/>
      <c r="CEA46" s="473"/>
      <c r="CEB46" s="473"/>
      <c r="CEC46" s="473"/>
      <c r="CED46" s="473"/>
      <c r="CEE46" s="473"/>
      <c r="CEF46" s="473"/>
      <c r="CEG46" s="473"/>
      <c r="CEH46" s="473"/>
      <c r="CEI46" s="473"/>
      <c r="CEJ46" s="473"/>
      <c r="CEK46" s="473"/>
      <c r="CEL46" s="473"/>
      <c r="CEM46" s="473"/>
      <c r="CEN46" s="473"/>
      <c r="CEO46" s="473"/>
      <c r="CEP46" s="473"/>
      <c r="CEQ46" s="473"/>
      <c r="CER46" s="473"/>
      <c r="CES46" s="473"/>
      <c r="CET46" s="473"/>
      <c r="CEU46" s="473"/>
      <c r="CEV46" s="473"/>
      <c r="CEW46" s="473"/>
      <c r="CEX46" s="473"/>
      <c r="CEY46" s="473"/>
      <c r="CEZ46" s="473"/>
      <c r="CFA46" s="473"/>
      <c r="CFB46" s="473"/>
      <c r="CFC46" s="473"/>
      <c r="CFD46" s="473"/>
      <c r="CFE46" s="473"/>
      <c r="CFF46" s="473"/>
      <c r="CFG46" s="473"/>
      <c r="CFH46" s="473"/>
      <c r="CFI46" s="473"/>
      <c r="CFJ46" s="473"/>
      <c r="CFK46" s="473"/>
      <c r="CFL46" s="473"/>
      <c r="CFM46" s="473"/>
      <c r="CFN46" s="473"/>
      <c r="CFO46" s="473"/>
      <c r="CFP46" s="473"/>
      <c r="CFQ46" s="473"/>
      <c r="CFR46" s="473"/>
      <c r="CFS46" s="473"/>
      <c r="CFT46" s="473"/>
      <c r="CFU46" s="473"/>
      <c r="CFV46" s="473"/>
      <c r="CFW46" s="473"/>
      <c r="CFX46" s="473"/>
      <c r="CFY46" s="473"/>
      <c r="CFZ46" s="473"/>
      <c r="CGA46" s="473"/>
      <c r="CGB46" s="473"/>
      <c r="CGC46" s="473"/>
      <c r="CGD46" s="473"/>
      <c r="CGE46" s="473"/>
      <c r="CGF46" s="473"/>
      <c r="CGG46" s="473"/>
      <c r="CGH46" s="473"/>
      <c r="CGI46" s="473"/>
      <c r="CGJ46" s="473"/>
      <c r="CGK46" s="473"/>
      <c r="CGL46" s="473"/>
      <c r="CGM46" s="473"/>
      <c r="CGN46" s="473"/>
      <c r="CGO46" s="473"/>
      <c r="CGP46" s="473"/>
      <c r="CGQ46" s="473"/>
      <c r="CGR46" s="473"/>
      <c r="CGS46" s="473"/>
      <c r="CGT46" s="473"/>
      <c r="CGU46" s="473"/>
      <c r="CGV46" s="473"/>
      <c r="CGW46" s="473"/>
      <c r="CGX46" s="473"/>
      <c r="CGY46" s="473"/>
      <c r="CGZ46" s="473"/>
      <c r="CHA46" s="473"/>
      <c r="CHB46" s="473"/>
      <c r="CHC46" s="473"/>
      <c r="CHD46" s="473"/>
      <c r="CHE46" s="473"/>
      <c r="CHF46" s="473"/>
      <c r="CHG46" s="473"/>
      <c r="CHH46" s="473"/>
      <c r="CHI46" s="473"/>
      <c r="CHJ46" s="473"/>
      <c r="CHK46" s="473"/>
      <c r="CHL46" s="473"/>
      <c r="CHM46" s="473"/>
      <c r="CHN46" s="473"/>
      <c r="CHO46" s="473"/>
      <c r="CHP46" s="473"/>
      <c r="CHQ46" s="473"/>
      <c r="CHR46" s="473"/>
      <c r="CHS46" s="473"/>
      <c r="CHT46" s="473"/>
      <c r="CHU46" s="473"/>
      <c r="CHV46" s="473"/>
      <c r="CHW46" s="473"/>
      <c r="CHX46" s="473"/>
      <c r="CHY46" s="473"/>
      <c r="CHZ46" s="473"/>
      <c r="CIA46" s="473"/>
      <c r="CIB46" s="473"/>
      <c r="CIC46" s="473"/>
      <c r="CID46" s="473"/>
      <c r="CIE46" s="473"/>
      <c r="CIF46" s="473"/>
      <c r="CIG46" s="473"/>
      <c r="CIH46" s="473"/>
      <c r="CII46" s="473"/>
      <c r="CIJ46" s="473"/>
      <c r="CIK46" s="473"/>
      <c r="CIL46" s="473"/>
      <c r="CIM46" s="473"/>
      <c r="CIN46" s="473"/>
      <c r="CIO46" s="473"/>
      <c r="CIP46" s="473"/>
      <c r="CIQ46" s="473"/>
      <c r="CIR46" s="473"/>
      <c r="CIS46" s="473"/>
      <c r="CIT46" s="473"/>
      <c r="CIU46" s="473"/>
      <c r="CIV46" s="473"/>
      <c r="CIW46" s="473"/>
      <c r="CIX46" s="473"/>
      <c r="CIY46" s="473"/>
      <c r="CIZ46" s="473"/>
      <c r="CJA46" s="473"/>
      <c r="CJB46" s="473"/>
      <c r="CJC46" s="473"/>
      <c r="CJD46" s="473"/>
      <c r="CJE46" s="473"/>
      <c r="CJF46" s="473"/>
      <c r="CJG46" s="473"/>
      <c r="CJH46" s="473"/>
      <c r="CJI46" s="473"/>
      <c r="CJJ46" s="473"/>
      <c r="CJK46" s="473"/>
      <c r="CJL46" s="473"/>
      <c r="CJM46" s="473"/>
      <c r="CJN46" s="473"/>
      <c r="CJO46" s="473"/>
      <c r="CJP46" s="473"/>
      <c r="CJQ46" s="473"/>
      <c r="CJR46" s="473"/>
      <c r="CJS46" s="473"/>
      <c r="CJT46" s="473"/>
      <c r="CJU46" s="473"/>
      <c r="CJV46" s="473"/>
      <c r="CJW46" s="473"/>
      <c r="CJX46" s="473"/>
      <c r="CJY46" s="473"/>
      <c r="CJZ46" s="473"/>
      <c r="CKA46" s="473"/>
      <c r="CKB46" s="473"/>
      <c r="CKC46" s="473"/>
      <c r="CKD46" s="473"/>
      <c r="CKE46" s="473"/>
      <c r="CKF46" s="473"/>
      <c r="CKG46" s="473"/>
      <c r="CKH46" s="473"/>
      <c r="CKI46" s="473"/>
      <c r="CKJ46" s="473"/>
      <c r="CKK46" s="473"/>
      <c r="CKL46" s="473"/>
      <c r="CKM46" s="473"/>
      <c r="CKN46" s="473"/>
      <c r="CKO46" s="473"/>
      <c r="CKP46" s="473"/>
      <c r="CKQ46" s="473"/>
      <c r="CKR46" s="473"/>
      <c r="CKS46" s="473"/>
      <c r="CKT46" s="473"/>
      <c r="CKU46" s="473"/>
      <c r="CKV46" s="473"/>
      <c r="CKW46" s="473"/>
      <c r="CKX46" s="473"/>
      <c r="CKY46" s="473"/>
      <c r="CKZ46" s="473"/>
      <c r="CLA46" s="473"/>
      <c r="CLB46" s="473"/>
      <c r="CLC46" s="473"/>
      <c r="CLD46" s="473"/>
      <c r="CLE46" s="473"/>
      <c r="CLF46" s="473"/>
      <c r="CLG46" s="473"/>
      <c r="CLH46" s="473"/>
      <c r="CLI46" s="473"/>
      <c r="CLJ46" s="473"/>
      <c r="CLK46" s="473"/>
      <c r="CLL46" s="473"/>
      <c r="CLM46" s="473"/>
      <c r="CLN46" s="473"/>
      <c r="CLO46" s="473"/>
      <c r="CLP46" s="473"/>
      <c r="CLQ46" s="473"/>
      <c r="CLR46" s="473"/>
      <c r="CLS46" s="473"/>
      <c r="CLT46" s="473"/>
      <c r="CLU46" s="473"/>
      <c r="CLV46" s="473"/>
      <c r="CLW46" s="473"/>
      <c r="CLX46" s="473"/>
      <c r="CLY46" s="473"/>
      <c r="CLZ46" s="473"/>
      <c r="CMA46" s="473"/>
      <c r="CMB46" s="473"/>
      <c r="CMC46" s="473"/>
      <c r="CMD46" s="473"/>
      <c r="CME46" s="473"/>
      <c r="CMF46" s="473"/>
      <c r="CMG46" s="473"/>
      <c r="CMH46" s="473"/>
      <c r="CMI46" s="473"/>
      <c r="CMJ46" s="473"/>
      <c r="CMK46" s="473"/>
      <c r="CML46" s="473"/>
      <c r="CMM46" s="473"/>
      <c r="CMN46" s="473"/>
      <c r="CMO46" s="473"/>
      <c r="CMP46" s="473"/>
      <c r="CMQ46" s="473"/>
      <c r="CMR46" s="473"/>
      <c r="CMS46" s="473"/>
      <c r="CMT46" s="473"/>
      <c r="CMU46" s="473"/>
      <c r="CMV46" s="473"/>
      <c r="CMW46" s="473"/>
      <c r="CMX46" s="473"/>
      <c r="CMY46" s="473"/>
      <c r="CMZ46" s="473"/>
      <c r="CNA46" s="473"/>
      <c r="CNB46" s="473"/>
      <c r="CNC46" s="473"/>
      <c r="CND46" s="473"/>
      <c r="CNE46" s="473"/>
      <c r="CNF46" s="473"/>
      <c r="CNG46" s="473"/>
      <c r="CNH46" s="473"/>
      <c r="CNI46" s="473"/>
      <c r="CNJ46" s="473"/>
      <c r="CNK46" s="473"/>
      <c r="CNL46" s="473"/>
      <c r="CNM46" s="473"/>
      <c r="CNN46" s="473"/>
      <c r="CNO46" s="473"/>
      <c r="CNP46" s="473"/>
      <c r="CNQ46" s="473"/>
      <c r="CNR46" s="473"/>
      <c r="CNS46" s="473"/>
      <c r="CNT46" s="473"/>
      <c r="CNU46" s="473"/>
      <c r="CNV46" s="473"/>
      <c r="CNW46" s="473"/>
      <c r="CNX46" s="473"/>
      <c r="CNY46" s="473"/>
      <c r="CNZ46" s="473"/>
      <c r="COA46" s="473"/>
      <c r="COB46" s="473"/>
      <c r="COC46" s="473"/>
      <c r="COD46" s="473"/>
      <c r="COE46" s="473"/>
      <c r="COF46" s="473"/>
      <c r="COG46" s="473"/>
      <c r="COH46" s="473"/>
      <c r="COI46" s="473"/>
      <c r="COJ46" s="473"/>
      <c r="COK46" s="473"/>
      <c r="COL46" s="473"/>
      <c r="COM46" s="473"/>
      <c r="CON46" s="473"/>
      <c r="COO46" s="473"/>
      <c r="COP46" s="473"/>
      <c r="COQ46" s="473"/>
      <c r="COR46" s="473"/>
      <c r="COS46" s="473"/>
      <c r="COT46" s="473"/>
      <c r="COU46" s="473"/>
      <c r="COV46" s="473"/>
      <c r="COW46" s="473"/>
      <c r="COX46" s="473"/>
      <c r="COY46" s="473"/>
      <c r="COZ46" s="473"/>
      <c r="CPA46" s="473"/>
      <c r="CPB46" s="473"/>
      <c r="CPC46" s="473"/>
      <c r="CPD46" s="473"/>
      <c r="CPE46" s="473"/>
      <c r="CPF46" s="473"/>
      <c r="CPG46" s="473"/>
      <c r="CPH46" s="473"/>
      <c r="CPI46" s="473"/>
      <c r="CPJ46" s="473"/>
      <c r="CPK46" s="473"/>
      <c r="CPL46" s="473"/>
      <c r="CPM46" s="473"/>
      <c r="CPN46" s="473"/>
      <c r="CPO46" s="473"/>
      <c r="CPP46" s="473"/>
      <c r="CPQ46" s="473"/>
      <c r="CPR46" s="473"/>
      <c r="CPS46" s="473"/>
      <c r="CPT46" s="473"/>
      <c r="CPU46" s="473"/>
      <c r="CPV46" s="473"/>
      <c r="CPW46" s="473"/>
      <c r="CPX46" s="473"/>
      <c r="CPY46" s="473"/>
      <c r="CPZ46" s="473"/>
      <c r="CQA46" s="473"/>
      <c r="CQB46" s="473"/>
      <c r="CQC46" s="473"/>
      <c r="CQD46" s="473"/>
      <c r="CQE46" s="473"/>
      <c r="CQF46" s="473"/>
      <c r="CQG46" s="473"/>
      <c r="CQH46" s="473"/>
      <c r="CQI46" s="473"/>
      <c r="CQJ46" s="473"/>
      <c r="CQK46" s="473"/>
      <c r="CQL46" s="473"/>
      <c r="CQM46" s="473"/>
      <c r="CQN46" s="473"/>
      <c r="CQO46" s="473"/>
      <c r="CQP46" s="473"/>
      <c r="CQQ46" s="473"/>
      <c r="CQR46" s="473"/>
      <c r="CQS46" s="473"/>
      <c r="CQT46" s="473"/>
      <c r="CQU46" s="473"/>
      <c r="CQV46" s="473"/>
      <c r="CQW46" s="473"/>
      <c r="CQX46" s="473"/>
      <c r="CQY46" s="473"/>
      <c r="CQZ46" s="473"/>
      <c r="CRA46" s="473"/>
      <c r="CRB46" s="473"/>
      <c r="CRC46" s="473"/>
      <c r="CRD46" s="473"/>
      <c r="CRE46" s="473"/>
      <c r="CRF46" s="473"/>
      <c r="CRG46" s="473"/>
      <c r="CRH46" s="473"/>
      <c r="CRI46" s="473"/>
      <c r="CRJ46" s="473"/>
      <c r="CRK46" s="473"/>
      <c r="CRL46" s="473"/>
      <c r="CRM46" s="473"/>
      <c r="CRN46" s="473"/>
      <c r="CRO46" s="473"/>
      <c r="CRP46" s="473"/>
      <c r="CRQ46" s="473"/>
      <c r="CRR46" s="473"/>
      <c r="CRS46" s="473"/>
      <c r="CRT46" s="473"/>
      <c r="CRU46" s="473"/>
      <c r="CRV46" s="473"/>
      <c r="CRW46" s="473"/>
      <c r="CRX46" s="473"/>
      <c r="CRY46" s="473"/>
      <c r="CRZ46" s="473"/>
      <c r="CSA46" s="473"/>
      <c r="CSB46" s="473"/>
      <c r="CSC46" s="473"/>
      <c r="CSD46" s="473"/>
      <c r="CSE46" s="473"/>
      <c r="CSF46" s="473"/>
      <c r="CSG46" s="473"/>
      <c r="CSH46" s="473"/>
      <c r="CSI46" s="473"/>
      <c r="CSJ46" s="473"/>
      <c r="CSK46" s="473"/>
      <c r="CSL46" s="473"/>
      <c r="CSM46" s="473"/>
      <c r="CSN46" s="473"/>
      <c r="CSO46" s="473"/>
      <c r="CSP46" s="473"/>
      <c r="CSQ46" s="473"/>
      <c r="CSR46" s="473"/>
      <c r="CSS46" s="473"/>
      <c r="CST46" s="473"/>
      <c r="CSU46" s="473"/>
      <c r="CSV46" s="473"/>
      <c r="CSW46" s="473"/>
      <c r="CSX46" s="473"/>
      <c r="CSY46" s="473"/>
      <c r="CSZ46" s="473"/>
      <c r="CTA46" s="473"/>
      <c r="CTB46" s="473"/>
      <c r="CTC46" s="473"/>
      <c r="CTD46" s="473"/>
      <c r="CTE46" s="473"/>
      <c r="CTF46" s="473"/>
      <c r="CTG46" s="473"/>
      <c r="CTH46" s="473"/>
      <c r="CTI46" s="473"/>
      <c r="CTJ46" s="473"/>
      <c r="CTK46" s="473"/>
      <c r="CTL46" s="473"/>
      <c r="CTM46" s="473"/>
      <c r="CTN46" s="473"/>
      <c r="CTO46" s="473"/>
      <c r="CTP46" s="473"/>
      <c r="CTQ46" s="473"/>
      <c r="CTR46" s="473"/>
      <c r="CTS46" s="473"/>
      <c r="CTT46" s="473"/>
      <c r="CTU46" s="473"/>
      <c r="CTV46" s="473"/>
      <c r="CTW46" s="473"/>
      <c r="CTX46" s="473"/>
      <c r="CTY46" s="473"/>
      <c r="CTZ46" s="473"/>
      <c r="CUA46" s="473"/>
      <c r="CUB46" s="473"/>
      <c r="CUC46" s="473"/>
      <c r="CUD46" s="473"/>
      <c r="CUE46" s="473"/>
      <c r="CUF46" s="473"/>
      <c r="CUG46" s="473"/>
      <c r="CUH46" s="473"/>
      <c r="CUI46" s="473"/>
      <c r="CUJ46" s="473"/>
      <c r="CUK46" s="473"/>
      <c r="CUL46" s="473"/>
      <c r="CUM46" s="473"/>
      <c r="CUN46" s="473"/>
      <c r="CUO46" s="473"/>
      <c r="CUP46" s="473"/>
      <c r="CUQ46" s="473"/>
      <c r="CUR46" s="473"/>
      <c r="CUS46" s="473"/>
      <c r="CUT46" s="473"/>
      <c r="CUU46" s="473"/>
      <c r="CUV46" s="473"/>
      <c r="CUW46" s="473"/>
      <c r="CUX46" s="473"/>
      <c r="CUY46" s="473"/>
      <c r="CUZ46" s="473"/>
      <c r="CVA46" s="473"/>
      <c r="CVB46" s="473"/>
      <c r="CVC46" s="473"/>
      <c r="CVD46" s="473"/>
      <c r="CVE46" s="473"/>
      <c r="CVF46" s="473"/>
      <c r="CVG46" s="473"/>
      <c r="CVH46" s="473"/>
      <c r="CVI46" s="473"/>
      <c r="CVJ46" s="473"/>
      <c r="CVK46" s="473"/>
      <c r="CVL46" s="473"/>
      <c r="CVM46" s="473"/>
      <c r="CVN46" s="473"/>
      <c r="CVO46" s="473"/>
      <c r="CVP46" s="473"/>
      <c r="CVQ46" s="473"/>
      <c r="CVR46" s="473"/>
      <c r="CVS46" s="473"/>
      <c r="CVT46" s="473"/>
      <c r="CVU46" s="473"/>
      <c r="CVV46" s="473"/>
      <c r="CVW46" s="473"/>
      <c r="CVX46" s="473"/>
      <c r="CVY46" s="473"/>
      <c r="CVZ46" s="473"/>
      <c r="CWA46" s="473"/>
      <c r="CWB46" s="473"/>
      <c r="CWC46" s="473"/>
      <c r="CWD46" s="473"/>
      <c r="CWE46" s="473"/>
      <c r="CWF46" s="473"/>
      <c r="CWG46" s="473"/>
      <c r="CWH46" s="473"/>
      <c r="CWI46" s="473"/>
      <c r="CWJ46" s="473"/>
      <c r="CWK46" s="473"/>
      <c r="CWL46" s="473"/>
      <c r="CWM46" s="473"/>
      <c r="CWN46" s="473"/>
      <c r="CWO46" s="473"/>
      <c r="CWP46" s="473"/>
      <c r="CWQ46" s="473"/>
      <c r="CWR46" s="473"/>
      <c r="CWS46" s="473"/>
      <c r="CWT46" s="473"/>
      <c r="CWU46" s="473"/>
      <c r="CWV46" s="473"/>
      <c r="CWW46" s="473"/>
      <c r="CWX46" s="473"/>
      <c r="CWY46" s="473"/>
      <c r="CWZ46" s="473"/>
      <c r="CXA46" s="473"/>
      <c r="CXB46" s="473"/>
      <c r="CXC46" s="473"/>
      <c r="CXD46" s="473"/>
      <c r="CXE46" s="473"/>
      <c r="CXF46" s="473"/>
      <c r="CXG46" s="473"/>
      <c r="CXH46" s="473"/>
      <c r="CXI46" s="473"/>
      <c r="CXJ46" s="473"/>
      <c r="CXK46" s="473"/>
      <c r="CXL46" s="473"/>
      <c r="CXM46" s="473"/>
      <c r="CXN46" s="473"/>
      <c r="CXO46" s="473"/>
      <c r="CXP46" s="473"/>
      <c r="CXQ46" s="473"/>
      <c r="CXR46" s="473"/>
      <c r="CXS46" s="473"/>
      <c r="CXT46" s="473"/>
      <c r="CXU46" s="473"/>
      <c r="CXV46" s="473"/>
      <c r="CXW46" s="473"/>
      <c r="CXX46" s="473"/>
      <c r="CXY46" s="473"/>
      <c r="CXZ46" s="473"/>
      <c r="CYA46" s="473"/>
      <c r="CYB46" s="473"/>
      <c r="CYC46" s="473"/>
      <c r="CYD46" s="473"/>
      <c r="CYE46" s="473"/>
      <c r="CYF46" s="473"/>
      <c r="CYG46" s="473"/>
      <c r="CYH46" s="473"/>
      <c r="CYI46" s="473"/>
      <c r="CYJ46" s="473"/>
      <c r="CYK46" s="473"/>
      <c r="CYL46" s="473"/>
      <c r="CYM46" s="473"/>
      <c r="CYN46" s="473"/>
      <c r="CYO46" s="473"/>
      <c r="CYP46" s="473"/>
      <c r="CYQ46" s="473"/>
      <c r="CYR46" s="473"/>
      <c r="CYS46" s="473"/>
      <c r="CYT46" s="473"/>
      <c r="CYU46" s="473"/>
      <c r="CYV46" s="473"/>
      <c r="CYW46" s="473"/>
      <c r="CYX46" s="473"/>
      <c r="CYY46" s="473"/>
      <c r="CYZ46" s="473"/>
      <c r="CZA46" s="473"/>
      <c r="CZB46" s="473"/>
      <c r="CZC46" s="473"/>
      <c r="CZD46" s="473"/>
      <c r="CZE46" s="473"/>
      <c r="CZF46" s="473"/>
      <c r="CZG46" s="473"/>
      <c r="CZH46" s="473"/>
      <c r="CZI46" s="473"/>
      <c r="CZJ46" s="473"/>
      <c r="CZK46" s="473"/>
      <c r="CZL46" s="473"/>
      <c r="CZM46" s="473"/>
      <c r="CZN46" s="473"/>
      <c r="CZO46" s="473"/>
      <c r="CZP46" s="473"/>
      <c r="CZQ46" s="473"/>
      <c r="CZR46" s="473"/>
      <c r="CZS46" s="473"/>
      <c r="CZT46" s="473"/>
      <c r="CZU46" s="473"/>
      <c r="CZV46" s="473"/>
      <c r="CZW46" s="473"/>
      <c r="CZX46" s="473"/>
      <c r="CZY46" s="473"/>
      <c r="CZZ46" s="473"/>
      <c r="DAA46" s="473"/>
      <c r="DAB46" s="473"/>
      <c r="DAC46" s="473"/>
      <c r="DAD46" s="473"/>
      <c r="DAE46" s="473"/>
      <c r="DAF46" s="473"/>
      <c r="DAG46" s="473"/>
      <c r="DAH46" s="473"/>
      <c r="DAI46" s="473"/>
      <c r="DAJ46" s="473"/>
      <c r="DAK46" s="473"/>
      <c r="DAL46" s="473"/>
      <c r="DAM46" s="473"/>
      <c r="DAN46" s="473"/>
      <c r="DAO46" s="473"/>
      <c r="DAP46" s="473"/>
      <c r="DAQ46" s="473"/>
      <c r="DAR46" s="473"/>
      <c r="DAS46" s="473"/>
      <c r="DAT46" s="473"/>
      <c r="DAU46" s="473"/>
      <c r="DAV46" s="473"/>
      <c r="DAW46" s="473"/>
      <c r="DAX46" s="473"/>
      <c r="DAY46" s="473"/>
      <c r="DAZ46" s="473"/>
      <c r="DBA46" s="473"/>
      <c r="DBB46" s="473"/>
      <c r="DBC46" s="473"/>
      <c r="DBD46" s="473"/>
      <c r="DBE46" s="473"/>
      <c r="DBF46" s="473"/>
      <c r="DBG46" s="473"/>
      <c r="DBH46" s="473"/>
      <c r="DBI46" s="473"/>
      <c r="DBJ46" s="473"/>
      <c r="DBK46" s="473"/>
      <c r="DBL46" s="473"/>
      <c r="DBM46" s="473"/>
      <c r="DBN46" s="473"/>
      <c r="DBO46" s="473"/>
      <c r="DBP46" s="473"/>
      <c r="DBQ46" s="473"/>
      <c r="DBR46" s="473"/>
      <c r="DBS46" s="473"/>
      <c r="DBT46" s="473"/>
      <c r="DBU46" s="473"/>
      <c r="DBV46" s="473"/>
      <c r="DBW46" s="473"/>
      <c r="DBX46" s="473"/>
      <c r="DBY46" s="473"/>
      <c r="DBZ46" s="473"/>
      <c r="DCA46" s="473"/>
      <c r="DCB46" s="473"/>
      <c r="DCC46" s="473"/>
      <c r="DCD46" s="473"/>
      <c r="DCE46" s="473"/>
      <c r="DCF46" s="473"/>
      <c r="DCG46" s="473"/>
      <c r="DCH46" s="473"/>
      <c r="DCI46" s="473"/>
      <c r="DCJ46" s="473"/>
      <c r="DCK46" s="473"/>
      <c r="DCL46" s="473"/>
      <c r="DCM46" s="473"/>
      <c r="DCN46" s="473"/>
      <c r="DCO46" s="473"/>
      <c r="DCP46" s="473"/>
      <c r="DCQ46" s="473"/>
      <c r="DCR46" s="473"/>
      <c r="DCS46" s="473"/>
      <c r="DCT46" s="473"/>
      <c r="DCU46" s="473"/>
      <c r="DCV46" s="473"/>
      <c r="DCW46" s="473"/>
      <c r="DCX46" s="473"/>
      <c r="DCY46" s="473"/>
      <c r="DCZ46" s="473"/>
      <c r="DDA46" s="473"/>
      <c r="DDB46" s="473"/>
      <c r="DDC46" s="473"/>
      <c r="DDD46" s="473"/>
      <c r="DDE46" s="473"/>
      <c r="DDF46" s="473"/>
      <c r="DDG46" s="473"/>
      <c r="DDH46" s="473"/>
      <c r="DDI46" s="473"/>
      <c r="DDJ46" s="473"/>
      <c r="DDK46" s="473"/>
      <c r="DDL46" s="473"/>
      <c r="DDM46" s="473"/>
      <c r="DDN46" s="473"/>
      <c r="DDO46" s="473"/>
      <c r="DDP46" s="473"/>
      <c r="DDQ46" s="473"/>
      <c r="DDR46" s="473"/>
      <c r="DDS46" s="473"/>
      <c r="DDT46" s="473"/>
      <c r="DDU46" s="473"/>
      <c r="DDV46" s="473"/>
      <c r="DDW46" s="473"/>
      <c r="DDX46" s="473"/>
      <c r="DDY46" s="473"/>
      <c r="DDZ46" s="473"/>
      <c r="DEA46" s="473"/>
      <c r="DEB46" s="473"/>
      <c r="DEC46" s="473"/>
      <c r="DED46" s="473"/>
      <c r="DEE46" s="473"/>
      <c r="DEF46" s="473"/>
      <c r="DEG46" s="473"/>
      <c r="DEH46" s="473"/>
      <c r="DEI46" s="473"/>
      <c r="DEJ46" s="473"/>
      <c r="DEK46" s="473"/>
      <c r="DEL46" s="473"/>
      <c r="DEM46" s="473"/>
      <c r="DEN46" s="473"/>
      <c r="DEO46" s="473"/>
      <c r="DEP46" s="473"/>
      <c r="DEQ46" s="473"/>
      <c r="DER46" s="473"/>
      <c r="DES46" s="473"/>
      <c r="DET46" s="473"/>
      <c r="DEU46" s="473"/>
      <c r="DEV46" s="473"/>
      <c r="DEW46" s="473"/>
      <c r="DEX46" s="473"/>
      <c r="DEY46" s="473"/>
      <c r="DEZ46" s="473"/>
      <c r="DFA46" s="473"/>
      <c r="DFB46" s="473"/>
      <c r="DFC46" s="473"/>
      <c r="DFD46" s="473"/>
      <c r="DFE46" s="473"/>
      <c r="DFF46" s="473"/>
      <c r="DFG46" s="473"/>
      <c r="DFH46" s="473"/>
      <c r="DFI46" s="473"/>
      <c r="DFJ46" s="473"/>
      <c r="DFK46" s="473"/>
      <c r="DFL46" s="473"/>
      <c r="DFM46" s="473"/>
      <c r="DFN46" s="473"/>
      <c r="DFO46" s="473"/>
      <c r="DFP46" s="473"/>
      <c r="DFQ46" s="473"/>
      <c r="DFR46" s="473"/>
      <c r="DFS46" s="473"/>
      <c r="DFT46" s="473"/>
      <c r="DFU46" s="473"/>
      <c r="DFV46" s="473"/>
      <c r="DFW46" s="473"/>
      <c r="DFX46" s="473"/>
      <c r="DFY46" s="473"/>
      <c r="DFZ46" s="473"/>
      <c r="DGA46" s="473"/>
      <c r="DGB46" s="473"/>
      <c r="DGC46" s="473"/>
      <c r="DGD46" s="473"/>
      <c r="DGE46" s="473"/>
      <c r="DGF46" s="473"/>
      <c r="DGG46" s="473"/>
      <c r="DGH46" s="473"/>
      <c r="DGI46" s="473"/>
      <c r="DGJ46" s="473"/>
      <c r="DGK46" s="473"/>
      <c r="DGL46" s="473"/>
      <c r="DGM46" s="473"/>
      <c r="DGN46" s="473"/>
      <c r="DGO46" s="473"/>
      <c r="DGP46" s="473"/>
      <c r="DGQ46" s="473"/>
      <c r="DGR46" s="473"/>
      <c r="DGS46" s="473"/>
      <c r="DGT46" s="473"/>
      <c r="DGU46" s="473"/>
      <c r="DGV46" s="473"/>
      <c r="DGW46" s="473"/>
      <c r="DGX46" s="473"/>
      <c r="DGY46" s="473"/>
      <c r="DGZ46" s="473"/>
      <c r="DHA46" s="473"/>
      <c r="DHB46" s="473"/>
      <c r="DHC46" s="473"/>
      <c r="DHD46" s="473"/>
      <c r="DHE46" s="473"/>
      <c r="DHF46" s="473"/>
      <c r="DHG46" s="473"/>
      <c r="DHH46" s="473"/>
      <c r="DHI46" s="473"/>
      <c r="DHJ46" s="473"/>
      <c r="DHK46" s="473"/>
      <c r="DHL46" s="473"/>
      <c r="DHM46" s="473"/>
      <c r="DHN46" s="473"/>
      <c r="DHO46" s="473"/>
      <c r="DHP46" s="473"/>
      <c r="DHQ46" s="473"/>
      <c r="DHR46" s="473"/>
      <c r="DHS46" s="473"/>
      <c r="DHT46" s="473"/>
      <c r="DHU46" s="473"/>
      <c r="DHV46" s="473"/>
      <c r="DHW46" s="473"/>
      <c r="DHX46" s="473"/>
      <c r="DHY46" s="473"/>
      <c r="DHZ46" s="473"/>
      <c r="DIA46" s="473"/>
      <c r="DIB46" s="473"/>
      <c r="DIC46" s="473"/>
      <c r="DID46" s="473"/>
      <c r="DIE46" s="473"/>
      <c r="DIF46" s="473"/>
      <c r="DIG46" s="473"/>
      <c r="DIH46" s="473"/>
      <c r="DII46" s="473"/>
      <c r="DIJ46" s="473"/>
      <c r="DIK46" s="473"/>
      <c r="DIL46" s="473"/>
      <c r="DIM46" s="473"/>
      <c r="DIN46" s="473"/>
      <c r="DIO46" s="473"/>
      <c r="DIP46" s="473"/>
      <c r="DIQ46" s="473"/>
      <c r="DIR46" s="473"/>
      <c r="DIS46" s="473"/>
      <c r="DIT46" s="473"/>
      <c r="DIU46" s="473"/>
      <c r="DIV46" s="473"/>
      <c r="DIW46" s="473"/>
      <c r="DIX46" s="473"/>
      <c r="DIY46" s="473"/>
      <c r="DIZ46" s="473"/>
      <c r="DJA46" s="473"/>
      <c r="DJB46" s="473"/>
      <c r="DJC46" s="473"/>
      <c r="DJD46" s="473"/>
      <c r="DJE46" s="473"/>
      <c r="DJF46" s="473"/>
      <c r="DJG46" s="473"/>
      <c r="DJH46" s="473"/>
      <c r="DJI46" s="473"/>
      <c r="DJJ46" s="473"/>
      <c r="DJK46" s="473"/>
      <c r="DJL46" s="473"/>
      <c r="DJM46" s="473"/>
      <c r="DJN46" s="473"/>
      <c r="DJO46" s="473"/>
      <c r="DJP46" s="473"/>
      <c r="DJQ46" s="473"/>
      <c r="DJR46" s="473"/>
      <c r="DJS46" s="473"/>
      <c r="DJT46" s="473"/>
      <c r="DJU46" s="473"/>
      <c r="DJV46" s="473"/>
      <c r="DJW46" s="473"/>
      <c r="DJX46" s="473"/>
      <c r="DJY46" s="473"/>
      <c r="DJZ46" s="473"/>
      <c r="DKA46" s="473"/>
      <c r="DKB46" s="473"/>
      <c r="DKC46" s="473"/>
      <c r="DKD46" s="473"/>
      <c r="DKE46" s="473"/>
      <c r="DKF46" s="473"/>
      <c r="DKG46" s="473"/>
      <c r="DKH46" s="473"/>
      <c r="DKI46" s="473"/>
      <c r="DKJ46" s="473"/>
      <c r="DKK46" s="473"/>
      <c r="DKL46" s="473"/>
      <c r="DKM46" s="473"/>
      <c r="DKN46" s="473"/>
      <c r="DKO46" s="473"/>
      <c r="DKP46" s="473"/>
      <c r="DKQ46" s="473"/>
      <c r="DKR46" s="473"/>
      <c r="DKS46" s="473"/>
      <c r="DKT46" s="473"/>
      <c r="DKU46" s="473"/>
      <c r="DKV46" s="473"/>
      <c r="DKW46" s="473"/>
      <c r="DKX46" s="473"/>
      <c r="DKY46" s="473"/>
      <c r="DKZ46" s="473"/>
      <c r="DLA46" s="473"/>
      <c r="DLB46" s="473"/>
      <c r="DLC46" s="473"/>
      <c r="DLD46" s="473"/>
      <c r="DLE46" s="473"/>
      <c r="DLF46" s="473"/>
      <c r="DLG46" s="473"/>
      <c r="DLH46" s="473"/>
      <c r="DLI46" s="473"/>
      <c r="DLJ46" s="473"/>
      <c r="DLK46" s="473"/>
      <c r="DLL46" s="473"/>
      <c r="DLM46" s="473"/>
      <c r="DLN46" s="473"/>
      <c r="DLO46" s="473"/>
      <c r="DLP46" s="473"/>
      <c r="DLQ46" s="473"/>
      <c r="DLR46" s="473"/>
      <c r="DLS46" s="473"/>
      <c r="DLT46" s="473"/>
      <c r="DLU46" s="473"/>
      <c r="DLV46" s="473"/>
      <c r="DLW46" s="473"/>
      <c r="DLX46" s="473"/>
      <c r="DLY46" s="473"/>
      <c r="DLZ46" s="473"/>
      <c r="DMA46" s="473"/>
      <c r="DMB46" s="473"/>
      <c r="DMC46" s="473"/>
      <c r="DMD46" s="473"/>
      <c r="DME46" s="473"/>
      <c r="DMF46" s="473"/>
      <c r="DMG46" s="473"/>
      <c r="DMH46" s="473"/>
      <c r="DMI46" s="473"/>
      <c r="DMJ46" s="473"/>
      <c r="DMK46" s="473"/>
      <c r="DML46" s="473"/>
      <c r="DMM46" s="473"/>
      <c r="DMN46" s="473"/>
      <c r="DMO46" s="473"/>
      <c r="DMP46" s="473"/>
      <c r="DMQ46" s="473"/>
      <c r="DMR46" s="473"/>
      <c r="DMS46" s="473"/>
      <c r="DMT46" s="473"/>
      <c r="DMU46" s="473"/>
      <c r="DMV46" s="473"/>
      <c r="DMW46" s="473"/>
      <c r="DMX46" s="473"/>
      <c r="DMY46" s="473"/>
      <c r="DMZ46" s="473"/>
      <c r="DNA46" s="473"/>
      <c r="DNB46" s="473"/>
      <c r="DNC46" s="473"/>
      <c r="DND46" s="473"/>
      <c r="DNE46" s="473"/>
      <c r="DNF46" s="473"/>
      <c r="DNG46" s="473"/>
      <c r="DNH46" s="473"/>
      <c r="DNI46" s="473"/>
      <c r="DNJ46" s="473"/>
      <c r="DNK46" s="473"/>
      <c r="DNL46" s="473"/>
      <c r="DNM46" s="473"/>
      <c r="DNN46" s="473"/>
      <c r="DNO46" s="473"/>
      <c r="DNP46" s="473"/>
      <c r="DNQ46" s="473"/>
      <c r="DNR46" s="473"/>
      <c r="DNS46" s="473"/>
      <c r="DNT46" s="473"/>
      <c r="DNU46" s="473"/>
      <c r="DNV46" s="473"/>
      <c r="DNW46" s="473"/>
      <c r="DNX46" s="473"/>
      <c r="DNY46" s="473"/>
      <c r="DNZ46" s="473"/>
      <c r="DOA46" s="473"/>
      <c r="DOB46" s="473"/>
      <c r="DOC46" s="473"/>
      <c r="DOD46" s="473"/>
      <c r="DOE46" s="473"/>
      <c r="DOF46" s="473"/>
      <c r="DOG46" s="473"/>
      <c r="DOH46" s="473"/>
      <c r="DOI46" s="473"/>
      <c r="DOJ46" s="473"/>
      <c r="DOK46" s="473"/>
      <c r="DOL46" s="473"/>
      <c r="DOM46" s="473"/>
      <c r="DON46" s="473"/>
      <c r="DOO46" s="473"/>
      <c r="DOP46" s="473"/>
      <c r="DOQ46" s="473"/>
      <c r="DOR46" s="473"/>
      <c r="DOS46" s="473"/>
      <c r="DOT46" s="473"/>
      <c r="DOU46" s="473"/>
      <c r="DOV46" s="473"/>
      <c r="DOW46" s="473"/>
      <c r="DOX46" s="473"/>
      <c r="DOY46" s="473"/>
      <c r="DOZ46" s="473"/>
      <c r="DPA46" s="473"/>
      <c r="DPB46" s="473"/>
      <c r="DPC46" s="473"/>
      <c r="DPD46" s="473"/>
      <c r="DPE46" s="473"/>
      <c r="DPF46" s="473"/>
      <c r="DPG46" s="473"/>
      <c r="DPH46" s="473"/>
      <c r="DPI46" s="473"/>
      <c r="DPJ46" s="473"/>
      <c r="DPK46" s="473"/>
      <c r="DPL46" s="473"/>
      <c r="DPM46" s="473"/>
      <c r="DPN46" s="473"/>
      <c r="DPO46" s="473"/>
      <c r="DPP46" s="473"/>
      <c r="DPQ46" s="473"/>
      <c r="DPR46" s="473"/>
      <c r="DPS46" s="473"/>
      <c r="DPT46" s="473"/>
      <c r="DPU46" s="473"/>
      <c r="DPV46" s="473"/>
      <c r="DPW46" s="473"/>
      <c r="DPX46" s="473"/>
      <c r="DPY46" s="473"/>
      <c r="DPZ46" s="473"/>
      <c r="DQA46" s="473"/>
      <c r="DQB46" s="473"/>
      <c r="DQC46" s="473"/>
      <c r="DQD46" s="473"/>
      <c r="DQE46" s="473"/>
      <c r="DQF46" s="473"/>
      <c r="DQG46" s="473"/>
      <c r="DQH46" s="473"/>
      <c r="DQI46" s="473"/>
      <c r="DQJ46" s="473"/>
      <c r="DQK46" s="473"/>
      <c r="DQL46" s="473"/>
      <c r="DQM46" s="473"/>
      <c r="DQN46" s="473"/>
      <c r="DQO46" s="473"/>
      <c r="DQP46" s="473"/>
      <c r="DQQ46" s="473"/>
      <c r="DQR46" s="473"/>
      <c r="DQS46" s="473"/>
      <c r="DQT46" s="473"/>
      <c r="DQU46" s="473"/>
      <c r="DQV46" s="473"/>
      <c r="DQW46" s="473"/>
      <c r="DQX46" s="473"/>
      <c r="DQY46" s="473"/>
      <c r="DQZ46" s="473"/>
      <c r="DRA46" s="473"/>
      <c r="DRB46" s="473"/>
      <c r="DRC46" s="473"/>
      <c r="DRD46" s="473"/>
      <c r="DRE46" s="473"/>
      <c r="DRF46" s="473"/>
      <c r="DRG46" s="473"/>
      <c r="DRH46" s="473"/>
      <c r="DRI46" s="473"/>
      <c r="DRJ46" s="473"/>
      <c r="DRK46" s="473"/>
      <c r="DRL46" s="473"/>
      <c r="DRM46" s="473"/>
      <c r="DRN46" s="473"/>
      <c r="DRO46" s="473"/>
      <c r="DRP46" s="473"/>
      <c r="DRQ46" s="473"/>
      <c r="DRR46" s="473"/>
      <c r="DRS46" s="473"/>
      <c r="DRT46" s="473"/>
      <c r="DRU46" s="473"/>
      <c r="DRV46" s="473"/>
      <c r="DRW46" s="473"/>
      <c r="DRX46" s="473"/>
      <c r="DRY46" s="473"/>
      <c r="DRZ46" s="473"/>
      <c r="DSA46" s="473"/>
      <c r="DSB46" s="473"/>
      <c r="DSC46" s="473"/>
      <c r="DSD46" s="473"/>
      <c r="DSE46" s="473"/>
      <c r="DSF46" s="473"/>
      <c r="DSG46" s="473"/>
      <c r="DSH46" s="473"/>
      <c r="DSI46" s="473"/>
      <c r="DSJ46" s="473"/>
      <c r="DSK46" s="473"/>
      <c r="DSL46" s="473"/>
      <c r="DSM46" s="473"/>
      <c r="DSN46" s="473"/>
      <c r="DSO46" s="473"/>
      <c r="DSP46" s="473"/>
      <c r="DSQ46" s="473"/>
      <c r="DSR46" s="473"/>
      <c r="DSS46" s="473"/>
      <c r="DST46" s="473"/>
      <c r="DSU46" s="473"/>
      <c r="DSV46" s="473"/>
      <c r="DSW46" s="473"/>
      <c r="DSX46" s="473"/>
      <c r="DSY46" s="473"/>
      <c r="DSZ46" s="473"/>
      <c r="DTA46" s="473"/>
      <c r="DTB46" s="473"/>
      <c r="DTC46" s="473"/>
      <c r="DTD46" s="473"/>
      <c r="DTE46" s="473"/>
      <c r="DTF46" s="473"/>
      <c r="DTG46" s="473"/>
      <c r="DTH46" s="473"/>
      <c r="DTI46" s="473"/>
      <c r="DTJ46" s="473"/>
      <c r="DTK46" s="473"/>
      <c r="DTL46" s="473"/>
      <c r="DTM46" s="473"/>
      <c r="DTN46" s="473"/>
      <c r="DTO46" s="473"/>
      <c r="DTP46" s="473"/>
      <c r="DTQ46" s="473"/>
      <c r="DTR46" s="473"/>
      <c r="DTS46" s="473"/>
      <c r="DTT46" s="473"/>
      <c r="DTU46" s="473"/>
      <c r="DTV46" s="473"/>
      <c r="DTW46" s="473"/>
      <c r="DTX46" s="473"/>
      <c r="DTY46" s="473"/>
      <c r="DTZ46" s="473"/>
      <c r="DUA46" s="473"/>
      <c r="DUB46" s="473"/>
      <c r="DUC46" s="473"/>
      <c r="DUD46" s="473"/>
      <c r="DUE46" s="473"/>
      <c r="DUF46" s="473"/>
      <c r="DUG46" s="473"/>
      <c r="DUH46" s="473"/>
      <c r="DUI46" s="473"/>
      <c r="DUJ46" s="473"/>
      <c r="DUK46" s="473"/>
      <c r="DUL46" s="473"/>
      <c r="DUM46" s="473"/>
      <c r="DUN46" s="473"/>
      <c r="DUO46" s="473"/>
      <c r="DUP46" s="473"/>
      <c r="DUQ46" s="473"/>
      <c r="DUR46" s="473"/>
      <c r="DUS46" s="473"/>
      <c r="DUT46" s="473"/>
      <c r="DUU46" s="473"/>
      <c r="DUV46" s="473"/>
      <c r="DUW46" s="473"/>
      <c r="DUX46" s="473"/>
      <c r="DUY46" s="473"/>
      <c r="DUZ46" s="473"/>
      <c r="DVA46" s="473"/>
      <c r="DVB46" s="473"/>
      <c r="DVC46" s="473"/>
      <c r="DVD46" s="473"/>
      <c r="DVE46" s="473"/>
      <c r="DVF46" s="473"/>
      <c r="DVG46" s="473"/>
      <c r="DVH46" s="473"/>
      <c r="DVI46" s="473"/>
      <c r="DVJ46" s="473"/>
      <c r="DVK46" s="473"/>
      <c r="DVL46" s="473"/>
      <c r="DVM46" s="473"/>
      <c r="DVN46" s="473"/>
      <c r="DVO46" s="473"/>
      <c r="DVP46" s="473"/>
      <c r="DVQ46" s="473"/>
      <c r="DVR46" s="473"/>
      <c r="DVS46" s="473"/>
      <c r="DVT46" s="473"/>
      <c r="DVU46" s="473"/>
      <c r="DVV46" s="473"/>
      <c r="DVW46" s="473"/>
      <c r="DVX46" s="473"/>
      <c r="DVY46" s="473"/>
      <c r="DVZ46" s="473"/>
      <c r="DWA46" s="473"/>
      <c r="DWB46" s="473"/>
      <c r="DWC46" s="473"/>
      <c r="DWD46" s="473"/>
      <c r="DWE46" s="473"/>
      <c r="DWF46" s="473"/>
      <c r="DWG46" s="473"/>
      <c r="DWH46" s="473"/>
      <c r="DWI46" s="473"/>
      <c r="DWJ46" s="473"/>
      <c r="DWK46" s="473"/>
      <c r="DWL46" s="473"/>
      <c r="DWM46" s="473"/>
      <c r="DWN46" s="473"/>
      <c r="DWO46" s="473"/>
      <c r="DWP46" s="473"/>
      <c r="DWQ46" s="473"/>
      <c r="DWR46" s="473"/>
      <c r="DWS46" s="473"/>
      <c r="DWT46" s="473"/>
      <c r="DWU46" s="473"/>
      <c r="DWV46" s="473"/>
      <c r="DWW46" s="473"/>
      <c r="DWX46" s="473"/>
      <c r="DWY46" s="473"/>
      <c r="DWZ46" s="473"/>
      <c r="DXA46" s="473"/>
      <c r="DXB46" s="473"/>
      <c r="DXC46" s="473"/>
      <c r="DXD46" s="473"/>
      <c r="DXE46" s="473"/>
      <c r="DXF46" s="473"/>
      <c r="DXG46" s="473"/>
      <c r="DXH46" s="473"/>
      <c r="DXI46" s="473"/>
      <c r="DXJ46" s="473"/>
      <c r="DXK46" s="473"/>
      <c r="DXL46" s="473"/>
      <c r="DXM46" s="473"/>
      <c r="DXN46" s="473"/>
      <c r="DXO46" s="473"/>
      <c r="DXP46" s="473"/>
      <c r="DXQ46" s="473"/>
      <c r="DXR46" s="473"/>
      <c r="DXS46" s="473"/>
      <c r="DXT46" s="473"/>
      <c r="DXU46" s="473"/>
      <c r="DXV46" s="473"/>
      <c r="DXW46" s="473"/>
      <c r="DXX46" s="473"/>
      <c r="DXY46" s="473"/>
      <c r="DXZ46" s="473"/>
      <c r="DYA46" s="473"/>
      <c r="DYB46" s="473"/>
      <c r="DYC46" s="473"/>
      <c r="DYD46" s="473"/>
      <c r="DYE46" s="473"/>
      <c r="DYF46" s="473"/>
      <c r="DYG46" s="473"/>
      <c r="DYH46" s="473"/>
      <c r="DYI46" s="473"/>
      <c r="DYJ46" s="473"/>
      <c r="DYK46" s="473"/>
      <c r="DYL46" s="473"/>
      <c r="DYM46" s="473"/>
      <c r="DYN46" s="473"/>
      <c r="DYO46" s="473"/>
      <c r="DYP46" s="473"/>
      <c r="DYQ46" s="473"/>
      <c r="DYR46" s="473"/>
      <c r="DYS46" s="473"/>
      <c r="DYT46" s="473"/>
      <c r="DYU46" s="473"/>
      <c r="DYV46" s="473"/>
      <c r="DYW46" s="473"/>
      <c r="DYX46" s="473"/>
      <c r="DYY46" s="473"/>
      <c r="DYZ46" s="473"/>
      <c r="DZA46" s="473"/>
      <c r="DZB46" s="473"/>
      <c r="DZC46" s="473"/>
      <c r="DZD46" s="473"/>
      <c r="DZE46" s="473"/>
      <c r="DZF46" s="473"/>
      <c r="DZG46" s="473"/>
      <c r="DZH46" s="473"/>
      <c r="DZI46" s="473"/>
      <c r="DZJ46" s="473"/>
      <c r="DZK46" s="473"/>
      <c r="DZL46" s="473"/>
      <c r="DZM46" s="473"/>
      <c r="DZN46" s="473"/>
      <c r="DZO46" s="473"/>
      <c r="DZP46" s="473"/>
      <c r="DZQ46" s="473"/>
      <c r="DZR46" s="473"/>
      <c r="DZS46" s="473"/>
      <c r="DZT46" s="473"/>
      <c r="DZU46" s="473"/>
      <c r="DZV46" s="473"/>
      <c r="DZW46" s="473"/>
      <c r="DZX46" s="473"/>
      <c r="DZY46" s="473"/>
      <c r="DZZ46" s="473"/>
      <c r="EAA46" s="473"/>
      <c r="EAB46" s="473"/>
      <c r="EAC46" s="473"/>
      <c r="EAD46" s="473"/>
      <c r="EAE46" s="473"/>
      <c r="EAF46" s="473"/>
      <c r="EAG46" s="473"/>
      <c r="EAH46" s="473"/>
      <c r="EAI46" s="473"/>
      <c r="EAJ46" s="473"/>
      <c r="EAK46" s="473"/>
      <c r="EAL46" s="473"/>
      <c r="EAM46" s="473"/>
      <c r="EAN46" s="473"/>
      <c r="EAO46" s="473"/>
      <c r="EAP46" s="473"/>
      <c r="EAQ46" s="473"/>
      <c r="EAR46" s="473"/>
      <c r="EAS46" s="473"/>
      <c r="EAT46" s="473"/>
      <c r="EAU46" s="473"/>
      <c r="EAV46" s="473"/>
      <c r="EAW46" s="473"/>
      <c r="EAX46" s="473"/>
      <c r="EAY46" s="473"/>
      <c r="EAZ46" s="473"/>
      <c r="EBA46" s="473"/>
      <c r="EBB46" s="473"/>
      <c r="EBC46" s="473"/>
      <c r="EBD46" s="473"/>
      <c r="EBE46" s="473"/>
      <c r="EBF46" s="473"/>
      <c r="EBG46" s="473"/>
      <c r="EBH46" s="473"/>
      <c r="EBI46" s="473"/>
      <c r="EBJ46" s="473"/>
      <c r="EBK46" s="473"/>
      <c r="EBL46" s="473"/>
      <c r="EBM46" s="473"/>
      <c r="EBN46" s="473"/>
      <c r="EBO46" s="473"/>
      <c r="EBP46" s="473"/>
      <c r="EBQ46" s="473"/>
      <c r="EBR46" s="473"/>
      <c r="EBS46" s="473"/>
      <c r="EBT46" s="473"/>
      <c r="EBU46" s="473"/>
      <c r="EBV46" s="473"/>
      <c r="EBW46" s="473"/>
      <c r="EBX46" s="473"/>
      <c r="EBY46" s="473"/>
      <c r="EBZ46" s="473"/>
      <c r="ECA46" s="473"/>
      <c r="ECB46" s="473"/>
      <c r="ECC46" s="473"/>
      <c r="ECD46" s="473"/>
      <c r="ECE46" s="473"/>
      <c r="ECF46" s="473"/>
      <c r="ECG46" s="473"/>
      <c r="ECH46" s="473"/>
      <c r="ECI46" s="473"/>
      <c r="ECJ46" s="473"/>
      <c r="ECK46" s="473"/>
      <c r="ECL46" s="473"/>
      <c r="ECM46" s="473"/>
      <c r="ECN46" s="473"/>
      <c r="ECO46" s="473"/>
      <c r="ECP46" s="473"/>
      <c r="ECQ46" s="473"/>
      <c r="ECR46" s="473"/>
      <c r="ECS46" s="473"/>
      <c r="ECT46" s="473"/>
      <c r="ECU46" s="473"/>
      <c r="ECV46" s="473"/>
      <c r="ECW46" s="473"/>
      <c r="ECX46" s="473"/>
      <c r="ECY46" s="473"/>
      <c r="ECZ46" s="473"/>
      <c r="EDA46" s="473"/>
      <c r="EDB46" s="473"/>
      <c r="EDC46" s="473"/>
      <c r="EDD46" s="473"/>
      <c r="EDE46" s="473"/>
      <c r="EDF46" s="473"/>
      <c r="EDG46" s="473"/>
      <c r="EDH46" s="473"/>
      <c r="EDI46" s="473"/>
      <c r="EDJ46" s="473"/>
      <c r="EDK46" s="473"/>
      <c r="EDL46" s="473"/>
      <c r="EDM46" s="473"/>
      <c r="EDN46" s="473"/>
      <c r="EDO46" s="473"/>
      <c r="EDP46" s="473"/>
      <c r="EDQ46" s="473"/>
      <c r="EDR46" s="473"/>
      <c r="EDS46" s="473"/>
      <c r="EDT46" s="473"/>
      <c r="EDU46" s="473"/>
      <c r="EDV46" s="473"/>
      <c r="EDW46" s="473"/>
      <c r="EDX46" s="473"/>
      <c r="EDY46" s="473"/>
      <c r="EDZ46" s="473"/>
      <c r="EEA46" s="473"/>
      <c r="EEB46" s="473"/>
      <c r="EEC46" s="473"/>
      <c r="EED46" s="473"/>
      <c r="EEE46" s="473"/>
      <c r="EEF46" s="473"/>
      <c r="EEG46" s="473"/>
      <c r="EEH46" s="473"/>
      <c r="EEI46" s="473"/>
      <c r="EEJ46" s="473"/>
      <c r="EEK46" s="473"/>
      <c r="EEL46" s="473"/>
      <c r="EEM46" s="473"/>
      <c r="EEN46" s="473"/>
      <c r="EEO46" s="473"/>
      <c r="EEP46" s="473"/>
      <c r="EEQ46" s="473"/>
      <c r="EER46" s="473"/>
      <c r="EES46" s="473"/>
      <c r="EET46" s="473"/>
      <c r="EEU46" s="473"/>
      <c r="EEV46" s="473"/>
      <c r="EEW46" s="473"/>
      <c r="EEX46" s="473"/>
      <c r="EEY46" s="473"/>
      <c r="EEZ46" s="473"/>
      <c r="EFA46" s="473"/>
      <c r="EFB46" s="473"/>
      <c r="EFC46" s="473"/>
      <c r="EFD46" s="473"/>
      <c r="EFE46" s="473"/>
      <c r="EFF46" s="473"/>
      <c r="EFG46" s="473"/>
      <c r="EFH46" s="473"/>
      <c r="EFI46" s="473"/>
      <c r="EFJ46" s="473"/>
      <c r="EFK46" s="473"/>
      <c r="EFL46" s="473"/>
      <c r="EFM46" s="473"/>
      <c r="EFN46" s="473"/>
      <c r="EFO46" s="473"/>
      <c r="EFP46" s="473"/>
      <c r="EFQ46" s="473"/>
      <c r="EFR46" s="473"/>
      <c r="EFS46" s="473"/>
      <c r="EFT46" s="473"/>
      <c r="EFU46" s="473"/>
      <c r="EFV46" s="473"/>
      <c r="EFW46" s="473"/>
      <c r="EFX46" s="473"/>
      <c r="EFY46" s="473"/>
      <c r="EFZ46" s="473"/>
      <c r="EGA46" s="473"/>
      <c r="EGB46" s="473"/>
      <c r="EGC46" s="473"/>
      <c r="EGD46" s="473"/>
      <c r="EGE46" s="473"/>
      <c r="EGF46" s="473"/>
      <c r="EGG46" s="473"/>
      <c r="EGH46" s="473"/>
      <c r="EGI46" s="473"/>
      <c r="EGJ46" s="473"/>
      <c r="EGK46" s="473"/>
      <c r="EGL46" s="473"/>
      <c r="EGM46" s="473"/>
      <c r="EGN46" s="473"/>
      <c r="EGO46" s="473"/>
      <c r="EGP46" s="473"/>
      <c r="EGQ46" s="473"/>
      <c r="EGR46" s="473"/>
      <c r="EGS46" s="473"/>
      <c r="EGT46" s="473"/>
      <c r="EGU46" s="473"/>
      <c r="EGV46" s="473"/>
      <c r="EGW46" s="473"/>
      <c r="EGX46" s="473"/>
      <c r="EGY46" s="473"/>
      <c r="EGZ46" s="473"/>
      <c r="EHA46" s="473"/>
      <c r="EHB46" s="473"/>
      <c r="EHC46" s="473"/>
      <c r="EHD46" s="473"/>
      <c r="EHE46" s="473"/>
      <c r="EHF46" s="473"/>
      <c r="EHG46" s="473"/>
      <c r="EHH46" s="473"/>
      <c r="EHI46" s="473"/>
      <c r="EHJ46" s="473"/>
      <c r="EHK46" s="473"/>
      <c r="EHL46" s="473"/>
      <c r="EHM46" s="473"/>
      <c r="EHN46" s="473"/>
      <c r="EHO46" s="473"/>
      <c r="EHP46" s="473"/>
      <c r="EHQ46" s="473"/>
      <c r="EHR46" s="473"/>
      <c r="EHS46" s="473"/>
      <c r="EHT46" s="473"/>
      <c r="EHU46" s="473"/>
      <c r="EHV46" s="473"/>
      <c r="EHW46" s="473"/>
      <c r="EHX46" s="473"/>
      <c r="EHY46" s="473"/>
      <c r="EHZ46" s="473"/>
      <c r="EIA46" s="473"/>
      <c r="EIB46" s="473"/>
      <c r="EIC46" s="473"/>
      <c r="EID46" s="473"/>
      <c r="EIE46" s="473"/>
      <c r="EIF46" s="473"/>
      <c r="EIG46" s="473"/>
      <c r="EIH46" s="473"/>
      <c r="EII46" s="473"/>
      <c r="EIJ46" s="473"/>
      <c r="EIK46" s="473"/>
      <c r="EIL46" s="473"/>
      <c r="EIM46" s="473"/>
      <c r="EIN46" s="473"/>
      <c r="EIO46" s="473"/>
      <c r="EIP46" s="473"/>
      <c r="EIQ46" s="473"/>
      <c r="EIR46" s="473"/>
      <c r="EIS46" s="473"/>
      <c r="EIT46" s="473"/>
      <c r="EIU46" s="473"/>
      <c r="EIV46" s="473"/>
      <c r="EIW46" s="473"/>
      <c r="EIX46" s="473"/>
      <c r="EIY46" s="473"/>
      <c r="EIZ46" s="473"/>
      <c r="EJA46" s="473"/>
      <c r="EJB46" s="473"/>
      <c r="EJC46" s="473"/>
      <c r="EJD46" s="473"/>
      <c r="EJE46" s="473"/>
      <c r="EJF46" s="473"/>
      <c r="EJG46" s="473"/>
      <c r="EJH46" s="473"/>
      <c r="EJI46" s="473"/>
      <c r="EJJ46" s="473"/>
      <c r="EJK46" s="473"/>
      <c r="EJL46" s="473"/>
      <c r="EJM46" s="473"/>
      <c r="EJN46" s="473"/>
      <c r="EJO46" s="473"/>
      <c r="EJP46" s="473"/>
      <c r="EJQ46" s="473"/>
      <c r="EJR46" s="473"/>
      <c r="EJS46" s="473"/>
      <c r="EJT46" s="473"/>
      <c r="EJU46" s="473"/>
      <c r="EJV46" s="473"/>
      <c r="EJW46" s="473"/>
      <c r="EJX46" s="473"/>
      <c r="EJY46" s="473"/>
      <c r="EJZ46" s="473"/>
      <c r="EKA46" s="473"/>
      <c r="EKB46" s="473"/>
      <c r="EKC46" s="473"/>
      <c r="EKD46" s="473"/>
      <c r="EKE46" s="473"/>
      <c r="EKF46" s="473"/>
      <c r="EKG46" s="473"/>
      <c r="EKH46" s="473"/>
      <c r="EKI46" s="473"/>
      <c r="EKJ46" s="473"/>
      <c r="EKK46" s="473"/>
      <c r="EKL46" s="473"/>
      <c r="EKM46" s="473"/>
      <c r="EKN46" s="473"/>
      <c r="EKO46" s="473"/>
      <c r="EKP46" s="473"/>
      <c r="EKQ46" s="473"/>
      <c r="EKR46" s="473"/>
      <c r="EKS46" s="473"/>
      <c r="EKT46" s="473"/>
      <c r="EKU46" s="473"/>
      <c r="EKV46" s="473"/>
      <c r="EKW46" s="473"/>
      <c r="EKX46" s="473"/>
      <c r="EKY46" s="473"/>
      <c r="EKZ46" s="473"/>
      <c r="ELA46" s="473"/>
      <c r="ELB46" s="473"/>
      <c r="ELC46" s="473"/>
      <c r="ELD46" s="473"/>
      <c r="ELE46" s="473"/>
      <c r="ELF46" s="473"/>
      <c r="ELG46" s="473"/>
      <c r="ELH46" s="473"/>
      <c r="ELI46" s="473"/>
      <c r="ELJ46" s="473"/>
      <c r="ELK46" s="473"/>
      <c r="ELL46" s="473"/>
      <c r="ELM46" s="473"/>
      <c r="ELN46" s="473"/>
      <c r="ELO46" s="473"/>
      <c r="ELP46" s="473"/>
      <c r="ELQ46" s="473"/>
      <c r="ELR46" s="473"/>
      <c r="ELS46" s="473"/>
      <c r="ELT46" s="473"/>
      <c r="ELU46" s="473"/>
      <c r="ELV46" s="473"/>
      <c r="ELW46" s="473"/>
      <c r="ELX46" s="473"/>
      <c r="ELY46" s="473"/>
      <c r="ELZ46" s="473"/>
      <c r="EMA46" s="473"/>
      <c r="EMB46" s="473"/>
      <c r="EMC46" s="473"/>
      <c r="EMD46" s="473"/>
      <c r="EME46" s="473"/>
      <c r="EMF46" s="473"/>
      <c r="EMG46" s="473"/>
      <c r="EMH46" s="473"/>
      <c r="EMI46" s="473"/>
      <c r="EMJ46" s="473"/>
      <c r="EMK46" s="473"/>
      <c r="EML46" s="473"/>
      <c r="EMM46" s="473"/>
      <c r="EMN46" s="473"/>
      <c r="EMO46" s="473"/>
      <c r="EMP46" s="473"/>
      <c r="EMQ46" s="473"/>
      <c r="EMR46" s="473"/>
      <c r="EMS46" s="473"/>
      <c r="EMT46" s="473"/>
      <c r="EMU46" s="473"/>
      <c r="EMV46" s="473"/>
      <c r="EMW46" s="473"/>
      <c r="EMX46" s="473"/>
      <c r="EMY46" s="473"/>
      <c r="EMZ46" s="473"/>
      <c r="ENA46" s="473"/>
      <c r="ENB46" s="473"/>
      <c r="ENC46" s="473"/>
      <c r="END46" s="473"/>
      <c r="ENE46" s="473"/>
      <c r="ENF46" s="473"/>
      <c r="ENG46" s="473"/>
      <c r="ENH46" s="473"/>
      <c r="ENI46" s="473"/>
      <c r="ENJ46" s="473"/>
      <c r="ENK46" s="473"/>
      <c r="ENL46" s="473"/>
      <c r="ENM46" s="473"/>
      <c r="ENN46" s="473"/>
      <c r="ENO46" s="473"/>
      <c r="ENP46" s="473"/>
      <c r="ENQ46" s="473"/>
      <c r="ENR46" s="473"/>
      <c r="ENS46" s="473"/>
      <c r="ENT46" s="473"/>
      <c r="ENU46" s="473"/>
      <c r="ENV46" s="473"/>
      <c r="ENW46" s="473"/>
      <c r="ENX46" s="473"/>
      <c r="ENY46" s="473"/>
      <c r="ENZ46" s="473"/>
      <c r="EOA46" s="473"/>
      <c r="EOB46" s="473"/>
      <c r="EOC46" s="473"/>
      <c r="EOD46" s="473"/>
      <c r="EOE46" s="473"/>
      <c r="EOF46" s="473"/>
      <c r="EOG46" s="473"/>
      <c r="EOH46" s="473"/>
      <c r="EOI46" s="473"/>
      <c r="EOJ46" s="473"/>
      <c r="EOK46" s="473"/>
      <c r="EOL46" s="473"/>
      <c r="EOM46" s="473"/>
      <c r="EON46" s="473"/>
      <c r="EOO46" s="473"/>
      <c r="EOP46" s="473"/>
      <c r="EOQ46" s="473"/>
      <c r="EOR46" s="473"/>
      <c r="EOS46" s="473"/>
      <c r="EOT46" s="473"/>
      <c r="EOU46" s="473"/>
      <c r="EOV46" s="473"/>
      <c r="EOW46" s="473"/>
      <c r="EOX46" s="473"/>
      <c r="EOY46" s="473"/>
      <c r="EOZ46" s="473"/>
      <c r="EPA46" s="473"/>
      <c r="EPB46" s="473"/>
      <c r="EPC46" s="473"/>
      <c r="EPD46" s="473"/>
      <c r="EPE46" s="473"/>
      <c r="EPF46" s="473"/>
      <c r="EPG46" s="473"/>
      <c r="EPH46" s="473"/>
      <c r="EPI46" s="473"/>
      <c r="EPJ46" s="473"/>
      <c r="EPK46" s="473"/>
      <c r="EPL46" s="473"/>
      <c r="EPM46" s="473"/>
      <c r="EPN46" s="473"/>
      <c r="EPO46" s="473"/>
      <c r="EPP46" s="473"/>
      <c r="EPQ46" s="473"/>
      <c r="EPR46" s="473"/>
      <c r="EPS46" s="473"/>
      <c r="EPT46" s="473"/>
      <c r="EPU46" s="473"/>
      <c r="EPV46" s="473"/>
      <c r="EPW46" s="473"/>
      <c r="EPX46" s="473"/>
      <c r="EPY46" s="473"/>
      <c r="EPZ46" s="473"/>
      <c r="EQA46" s="473"/>
      <c r="EQB46" s="473"/>
      <c r="EQC46" s="473"/>
      <c r="EQD46" s="473"/>
      <c r="EQE46" s="473"/>
      <c r="EQF46" s="473"/>
      <c r="EQG46" s="473"/>
      <c r="EQH46" s="473"/>
      <c r="EQI46" s="473"/>
      <c r="EQJ46" s="473"/>
      <c r="EQK46" s="473"/>
      <c r="EQL46" s="473"/>
      <c r="EQM46" s="473"/>
      <c r="EQN46" s="473"/>
      <c r="EQO46" s="473"/>
      <c r="EQP46" s="473"/>
      <c r="EQQ46" s="473"/>
      <c r="EQR46" s="473"/>
      <c r="EQS46" s="473"/>
      <c r="EQT46" s="473"/>
      <c r="EQU46" s="473"/>
      <c r="EQV46" s="473"/>
      <c r="EQW46" s="473"/>
      <c r="EQX46" s="473"/>
      <c r="EQY46" s="473"/>
      <c r="EQZ46" s="473"/>
      <c r="ERA46" s="473"/>
      <c r="ERB46" s="473"/>
      <c r="ERC46" s="473"/>
      <c r="ERD46" s="473"/>
      <c r="ERE46" s="473"/>
      <c r="ERF46" s="473"/>
      <c r="ERG46" s="473"/>
      <c r="ERH46" s="473"/>
      <c r="ERI46" s="473"/>
      <c r="ERJ46" s="473"/>
      <c r="ERK46" s="473"/>
      <c r="ERL46" s="473"/>
      <c r="ERM46" s="473"/>
      <c r="ERN46" s="473"/>
      <c r="ERO46" s="473"/>
      <c r="ERP46" s="473"/>
      <c r="ERQ46" s="473"/>
      <c r="ERR46" s="473"/>
      <c r="ERS46" s="473"/>
      <c r="ERT46" s="473"/>
      <c r="ERU46" s="473"/>
      <c r="ERV46" s="473"/>
      <c r="ERW46" s="473"/>
      <c r="ERX46" s="473"/>
      <c r="ERY46" s="473"/>
      <c r="ERZ46" s="473"/>
      <c r="ESA46" s="473"/>
      <c r="ESB46" s="473"/>
      <c r="ESC46" s="473"/>
      <c r="ESD46" s="473"/>
      <c r="ESE46" s="473"/>
      <c r="ESF46" s="473"/>
      <c r="ESG46" s="473"/>
      <c r="ESH46" s="473"/>
      <c r="ESI46" s="473"/>
      <c r="ESJ46" s="473"/>
      <c r="ESK46" s="473"/>
      <c r="ESL46" s="473"/>
      <c r="ESM46" s="473"/>
      <c r="ESN46" s="473"/>
      <c r="ESO46" s="473"/>
      <c r="ESP46" s="473"/>
      <c r="ESQ46" s="473"/>
      <c r="ESR46" s="473"/>
      <c r="ESS46" s="473"/>
      <c r="EST46" s="473"/>
      <c r="ESU46" s="473"/>
      <c r="ESV46" s="473"/>
      <c r="ESW46" s="473"/>
      <c r="ESX46" s="473"/>
      <c r="ESY46" s="473"/>
      <c r="ESZ46" s="473"/>
      <c r="ETA46" s="473"/>
      <c r="ETB46" s="473"/>
      <c r="ETC46" s="473"/>
      <c r="ETD46" s="473"/>
      <c r="ETE46" s="473"/>
      <c r="ETF46" s="473"/>
      <c r="ETG46" s="473"/>
      <c r="ETH46" s="473"/>
      <c r="ETI46" s="473"/>
      <c r="ETJ46" s="473"/>
      <c r="ETK46" s="473"/>
      <c r="ETL46" s="473"/>
      <c r="ETM46" s="473"/>
      <c r="ETN46" s="473"/>
      <c r="ETO46" s="473"/>
      <c r="ETP46" s="473"/>
      <c r="ETQ46" s="473"/>
      <c r="ETR46" s="473"/>
      <c r="ETS46" s="473"/>
      <c r="ETT46" s="473"/>
      <c r="ETU46" s="473"/>
      <c r="ETV46" s="473"/>
      <c r="ETW46" s="473"/>
      <c r="ETX46" s="473"/>
      <c r="ETY46" s="473"/>
      <c r="ETZ46" s="473"/>
      <c r="EUA46" s="473"/>
      <c r="EUB46" s="473"/>
      <c r="EUC46" s="473"/>
      <c r="EUD46" s="473"/>
      <c r="EUE46" s="473"/>
      <c r="EUF46" s="473"/>
      <c r="EUG46" s="473"/>
      <c r="EUH46" s="473"/>
      <c r="EUI46" s="473"/>
      <c r="EUJ46" s="473"/>
      <c r="EUK46" s="473"/>
      <c r="EUL46" s="473"/>
      <c r="EUM46" s="473"/>
      <c r="EUN46" s="473"/>
      <c r="EUO46" s="473"/>
      <c r="EUP46" s="473"/>
      <c r="EUQ46" s="473"/>
      <c r="EUR46" s="473"/>
      <c r="EUS46" s="473"/>
      <c r="EUT46" s="473"/>
      <c r="EUU46" s="473"/>
      <c r="EUV46" s="473"/>
      <c r="EUW46" s="473"/>
      <c r="EUX46" s="473"/>
      <c r="EUY46" s="473"/>
      <c r="EUZ46" s="473"/>
      <c r="EVA46" s="473"/>
      <c r="EVB46" s="473"/>
      <c r="EVC46" s="473"/>
      <c r="EVD46" s="473"/>
      <c r="EVE46" s="473"/>
      <c r="EVF46" s="473"/>
      <c r="EVG46" s="473"/>
      <c r="EVH46" s="473"/>
      <c r="EVI46" s="473"/>
      <c r="EVJ46" s="473"/>
      <c r="EVK46" s="473"/>
      <c r="EVL46" s="473"/>
      <c r="EVM46" s="473"/>
      <c r="EVN46" s="473"/>
      <c r="EVO46" s="473"/>
      <c r="EVP46" s="473"/>
      <c r="EVQ46" s="473"/>
      <c r="EVR46" s="473"/>
      <c r="EVS46" s="473"/>
      <c r="EVT46" s="473"/>
      <c r="EVU46" s="473"/>
      <c r="EVV46" s="473"/>
      <c r="EVW46" s="473"/>
      <c r="EVX46" s="473"/>
      <c r="EVY46" s="473"/>
      <c r="EVZ46" s="473"/>
      <c r="EWA46" s="473"/>
      <c r="EWB46" s="473"/>
      <c r="EWC46" s="473"/>
      <c r="EWD46" s="473"/>
      <c r="EWE46" s="473"/>
      <c r="EWF46" s="473"/>
      <c r="EWG46" s="473"/>
      <c r="EWH46" s="473"/>
      <c r="EWI46" s="473"/>
      <c r="EWJ46" s="473"/>
      <c r="EWK46" s="473"/>
      <c r="EWL46" s="473"/>
      <c r="EWM46" s="473"/>
      <c r="EWN46" s="473"/>
      <c r="EWO46" s="473"/>
      <c r="EWP46" s="473"/>
      <c r="EWQ46" s="473"/>
      <c r="EWR46" s="473"/>
      <c r="EWS46" s="473"/>
      <c r="EWT46" s="473"/>
      <c r="EWU46" s="473"/>
      <c r="EWV46" s="473"/>
      <c r="EWW46" s="473"/>
      <c r="EWX46" s="473"/>
      <c r="EWY46" s="473"/>
      <c r="EWZ46" s="473"/>
      <c r="EXA46" s="473"/>
      <c r="EXB46" s="473"/>
      <c r="EXC46" s="473"/>
      <c r="EXD46" s="473"/>
      <c r="EXE46" s="473"/>
      <c r="EXF46" s="473"/>
      <c r="EXG46" s="473"/>
      <c r="EXH46" s="473"/>
      <c r="EXI46" s="473"/>
      <c r="EXJ46" s="473"/>
      <c r="EXK46" s="473"/>
      <c r="EXL46" s="473"/>
      <c r="EXM46" s="473"/>
      <c r="EXN46" s="473"/>
      <c r="EXO46" s="473"/>
      <c r="EXP46" s="473"/>
      <c r="EXQ46" s="473"/>
      <c r="EXR46" s="473"/>
      <c r="EXS46" s="473"/>
      <c r="EXT46" s="473"/>
      <c r="EXU46" s="473"/>
      <c r="EXV46" s="473"/>
      <c r="EXW46" s="473"/>
      <c r="EXX46" s="473"/>
      <c r="EXY46" s="473"/>
      <c r="EXZ46" s="473"/>
      <c r="EYA46" s="473"/>
      <c r="EYB46" s="473"/>
      <c r="EYC46" s="473"/>
      <c r="EYD46" s="473"/>
      <c r="EYE46" s="473"/>
      <c r="EYF46" s="473"/>
      <c r="EYG46" s="473"/>
      <c r="EYH46" s="473"/>
      <c r="EYI46" s="473"/>
      <c r="EYJ46" s="473"/>
      <c r="EYK46" s="473"/>
      <c r="EYL46" s="473"/>
      <c r="EYM46" s="473"/>
      <c r="EYN46" s="473"/>
      <c r="EYO46" s="473"/>
      <c r="EYP46" s="473"/>
      <c r="EYQ46" s="473"/>
      <c r="EYR46" s="473"/>
      <c r="EYS46" s="473"/>
      <c r="EYT46" s="473"/>
      <c r="EYU46" s="473"/>
      <c r="EYV46" s="473"/>
      <c r="EYW46" s="473"/>
      <c r="EYX46" s="473"/>
      <c r="EYY46" s="473"/>
      <c r="EYZ46" s="473"/>
      <c r="EZA46" s="473"/>
      <c r="EZB46" s="473"/>
      <c r="EZC46" s="473"/>
      <c r="EZD46" s="473"/>
      <c r="EZE46" s="473"/>
      <c r="EZF46" s="473"/>
      <c r="EZG46" s="473"/>
      <c r="EZH46" s="473"/>
      <c r="EZI46" s="473"/>
      <c r="EZJ46" s="473"/>
      <c r="EZK46" s="473"/>
      <c r="EZL46" s="473"/>
      <c r="EZM46" s="473"/>
      <c r="EZN46" s="473"/>
      <c r="EZO46" s="473"/>
      <c r="EZP46" s="473"/>
      <c r="EZQ46" s="473"/>
      <c r="EZR46" s="473"/>
      <c r="EZS46" s="473"/>
      <c r="EZT46" s="473"/>
      <c r="EZU46" s="473"/>
      <c r="EZV46" s="473"/>
      <c r="EZW46" s="473"/>
      <c r="EZX46" s="473"/>
      <c r="EZY46" s="473"/>
      <c r="EZZ46" s="473"/>
      <c r="FAA46" s="473"/>
      <c r="FAB46" s="473"/>
      <c r="FAC46" s="473"/>
      <c r="FAD46" s="473"/>
      <c r="FAE46" s="473"/>
      <c r="FAF46" s="473"/>
      <c r="FAG46" s="473"/>
      <c r="FAH46" s="473"/>
      <c r="FAI46" s="473"/>
      <c r="FAJ46" s="473"/>
      <c r="FAK46" s="473"/>
      <c r="FAL46" s="473"/>
      <c r="FAM46" s="473"/>
      <c r="FAN46" s="473"/>
      <c r="FAO46" s="473"/>
      <c r="FAP46" s="473"/>
      <c r="FAQ46" s="473"/>
      <c r="FAR46" s="473"/>
      <c r="FAS46" s="473"/>
      <c r="FAT46" s="473"/>
      <c r="FAU46" s="473"/>
      <c r="FAV46" s="473"/>
      <c r="FAW46" s="473"/>
      <c r="FAX46" s="473"/>
      <c r="FAY46" s="473"/>
      <c r="FAZ46" s="473"/>
      <c r="FBA46" s="473"/>
      <c r="FBB46" s="473"/>
      <c r="FBC46" s="473"/>
      <c r="FBD46" s="473"/>
      <c r="FBE46" s="473"/>
      <c r="FBF46" s="473"/>
      <c r="FBG46" s="473"/>
      <c r="FBH46" s="473"/>
      <c r="FBI46" s="473"/>
      <c r="FBJ46" s="473"/>
      <c r="FBK46" s="473"/>
      <c r="FBL46" s="473"/>
      <c r="FBM46" s="473"/>
      <c r="FBN46" s="473"/>
      <c r="FBO46" s="473"/>
      <c r="FBP46" s="473"/>
      <c r="FBQ46" s="473"/>
      <c r="FBR46" s="473"/>
      <c r="FBS46" s="473"/>
      <c r="FBT46" s="473"/>
      <c r="FBU46" s="473"/>
      <c r="FBV46" s="473"/>
      <c r="FBW46" s="473"/>
      <c r="FBX46" s="473"/>
      <c r="FBY46" s="473"/>
      <c r="FBZ46" s="473"/>
      <c r="FCA46" s="473"/>
      <c r="FCB46" s="473"/>
      <c r="FCC46" s="473"/>
      <c r="FCD46" s="473"/>
      <c r="FCE46" s="473"/>
      <c r="FCF46" s="473"/>
      <c r="FCG46" s="473"/>
      <c r="FCH46" s="473"/>
      <c r="FCI46" s="473"/>
      <c r="FCJ46" s="473"/>
      <c r="FCK46" s="473"/>
      <c r="FCL46" s="473"/>
      <c r="FCM46" s="473"/>
      <c r="FCN46" s="473"/>
      <c r="FCO46" s="473"/>
      <c r="FCP46" s="473"/>
      <c r="FCQ46" s="473"/>
      <c r="FCR46" s="473"/>
      <c r="FCS46" s="473"/>
      <c r="FCT46" s="473"/>
      <c r="FCU46" s="473"/>
      <c r="FCV46" s="473"/>
      <c r="FCW46" s="473"/>
      <c r="FCX46" s="473"/>
      <c r="FCY46" s="473"/>
      <c r="FCZ46" s="473"/>
      <c r="FDA46" s="473"/>
      <c r="FDB46" s="473"/>
      <c r="FDC46" s="473"/>
      <c r="FDD46" s="473"/>
      <c r="FDE46" s="473"/>
      <c r="FDF46" s="473"/>
      <c r="FDG46" s="473"/>
      <c r="FDH46" s="473"/>
      <c r="FDI46" s="473"/>
      <c r="FDJ46" s="473"/>
      <c r="FDK46" s="473"/>
      <c r="FDL46" s="473"/>
      <c r="FDM46" s="473"/>
      <c r="FDN46" s="473"/>
      <c r="FDO46" s="473"/>
      <c r="FDP46" s="473"/>
      <c r="FDQ46" s="473"/>
      <c r="FDR46" s="473"/>
      <c r="FDS46" s="473"/>
      <c r="FDT46" s="473"/>
      <c r="FDU46" s="473"/>
      <c r="FDV46" s="473"/>
      <c r="FDW46" s="473"/>
      <c r="FDX46" s="473"/>
      <c r="FDY46" s="473"/>
      <c r="FDZ46" s="473"/>
      <c r="FEA46" s="473"/>
      <c r="FEB46" s="473"/>
      <c r="FEC46" s="473"/>
      <c r="FED46" s="473"/>
      <c r="FEE46" s="473"/>
      <c r="FEF46" s="473"/>
      <c r="FEG46" s="473"/>
      <c r="FEH46" s="473"/>
      <c r="FEI46" s="473"/>
      <c r="FEJ46" s="473"/>
      <c r="FEK46" s="473"/>
      <c r="FEL46" s="473"/>
      <c r="FEM46" s="473"/>
      <c r="FEN46" s="473"/>
      <c r="FEO46" s="473"/>
      <c r="FEP46" s="473"/>
      <c r="FEQ46" s="473"/>
      <c r="FER46" s="473"/>
      <c r="FES46" s="473"/>
      <c r="FET46" s="473"/>
      <c r="FEU46" s="473"/>
      <c r="FEV46" s="473"/>
      <c r="FEW46" s="473"/>
      <c r="FEX46" s="473"/>
      <c r="FEY46" s="473"/>
      <c r="FEZ46" s="473"/>
      <c r="FFA46" s="473"/>
      <c r="FFB46" s="473"/>
      <c r="FFC46" s="473"/>
      <c r="FFD46" s="473"/>
      <c r="FFE46" s="473"/>
      <c r="FFF46" s="473"/>
      <c r="FFG46" s="473"/>
      <c r="FFH46" s="473"/>
      <c r="FFI46" s="473"/>
      <c r="FFJ46" s="473"/>
      <c r="FFK46" s="473"/>
      <c r="FFL46" s="473"/>
      <c r="FFM46" s="473"/>
      <c r="FFN46" s="473"/>
      <c r="FFO46" s="473"/>
      <c r="FFP46" s="473"/>
      <c r="FFQ46" s="473"/>
      <c r="FFR46" s="473"/>
      <c r="FFS46" s="473"/>
      <c r="FFT46" s="473"/>
      <c r="FFU46" s="473"/>
      <c r="FFV46" s="473"/>
      <c r="FFW46" s="473"/>
      <c r="FFX46" s="473"/>
      <c r="FFY46" s="473"/>
      <c r="FFZ46" s="473"/>
      <c r="FGA46" s="473"/>
      <c r="FGB46" s="473"/>
      <c r="FGC46" s="473"/>
      <c r="FGD46" s="473"/>
      <c r="FGE46" s="473"/>
      <c r="FGF46" s="473"/>
      <c r="FGG46" s="473"/>
      <c r="FGH46" s="473"/>
      <c r="FGI46" s="473"/>
      <c r="FGJ46" s="473"/>
      <c r="FGK46" s="473"/>
      <c r="FGL46" s="473"/>
      <c r="FGM46" s="473"/>
      <c r="FGN46" s="473"/>
      <c r="FGO46" s="473"/>
      <c r="FGP46" s="473"/>
      <c r="FGQ46" s="473"/>
      <c r="FGR46" s="473"/>
      <c r="FGS46" s="473"/>
      <c r="FGT46" s="473"/>
      <c r="FGU46" s="473"/>
      <c r="FGV46" s="473"/>
      <c r="FGW46" s="473"/>
      <c r="FGX46" s="473"/>
      <c r="FGY46" s="473"/>
      <c r="FGZ46" s="473"/>
      <c r="FHA46" s="473"/>
      <c r="FHB46" s="473"/>
      <c r="FHC46" s="473"/>
      <c r="FHD46" s="473"/>
      <c r="FHE46" s="473"/>
      <c r="FHF46" s="473"/>
      <c r="FHG46" s="473"/>
      <c r="FHH46" s="473"/>
      <c r="FHI46" s="473"/>
      <c r="FHJ46" s="473"/>
      <c r="FHK46" s="473"/>
      <c r="FHL46" s="473"/>
      <c r="FHM46" s="473"/>
      <c r="FHN46" s="473"/>
      <c r="FHO46" s="473"/>
      <c r="FHP46" s="473"/>
      <c r="FHQ46" s="473"/>
      <c r="FHR46" s="473"/>
      <c r="FHS46" s="473"/>
      <c r="FHT46" s="473"/>
      <c r="FHU46" s="473"/>
      <c r="FHV46" s="473"/>
      <c r="FHW46" s="473"/>
      <c r="FHX46" s="473"/>
      <c r="FHY46" s="473"/>
      <c r="FHZ46" s="473"/>
      <c r="FIA46" s="473"/>
      <c r="FIB46" s="473"/>
      <c r="FIC46" s="473"/>
      <c r="FID46" s="473"/>
      <c r="FIE46" s="473"/>
      <c r="FIF46" s="473"/>
      <c r="FIG46" s="473"/>
      <c r="FIH46" s="473"/>
      <c r="FII46" s="473"/>
      <c r="FIJ46" s="473"/>
      <c r="FIK46" s="473"/>
      <c r="FIL46" s="473"/>
      <c r="FIM46" s="473"/>
      <c r="FIN46" s="473"/>
      <c r="FIO46" s="473"/>
      <c r="FIP46" s="473"/>
      <c r="FIQ46" s="473"/>
      <c r="FIR46" s="473"/>
      <c r="FIS46" s="473"/>
      <c r="FIT46" s="473"/>
      <c r="FIU46" s="473"/>
      <c r="FIV46" s="473"/>
      <c r="FIW46" s="473"/>
      <c r="FIX46" s="473"/>
      <c r="FIY46" s="473"/>
      <c r="FIZ46" s="473"/>
      <c r="FJA46" s="473"/>
      <c r="FJB46" s="473"/>
      <c r="FJC46" s="473"/>
      <c r="FJD46" s="473"/>
      <c r="FJE46" s="473"/>
      <c r="FJF46" s="473"/>
      <c r="FJG46" s="473"/>
      <c r="FJH46" s="473"/>
      <c r="FJI46" s="473"/>
      <c r="FJJ46" s="473"/>
      <c r="FJK46" s="473"/>
      <c r="FJL46" s="473"/>
      <c r="FJM46" s="473"/>
      <c r="FJN46" s="473"/>
      <c r="FJO46" s="473"/>
      <c r="FJP46" s="473"/>
      <c r="FJQ46" s="473"/>
      <c r="FJR46" s="473"/>
      <c r="FJS46" s="473"/>
      <c r="FJT46" s="473"/>
      <c r="FJU46" s="473"/>
      <c r="FJV46" s="473"/>
      <c r="FJW46" s="473"/>
      <c r="FJX46" s="473"/>
      <c r="FJY46" s="473"/>
      <c r="FJZ46" s="473"/>
      <c r="FKA46" s="473"/>
      <c r="FKB46" s="473"/>
      <c r="FKC46" s="473"/>
      <c r="FKD46" s="473"/>
      <c r="FKE46" s="473"/>
      <c r="FKF46" s="473"/>
      <c r="FKG46" s="473"/>
      <c r="FKH46" s="473"/>
      <c r="FKI46" s="473"/>
      <c r="FKJ46" s="473"/>
      <c r="FKK46" s="473"/>
      <c r="FKL46" s="473"/>
      <c r="FKM46" s="473"/>
      <c r="FKN46" s="473"/>
      <c r="FKO46" s="473"/>
      <c r="FKP46" s="473"/>
      <c r="FKQ46" s="473"/>
      <c r="FKR46" s="473"/>
      <c r="FKS46" s="473"/>
      <c r="FKT46" s="473"/>
      <c r="FKU46" s="473"/>
      <c r="FKV46" s="473"/>
      <c r="FKW46" s="473"/>
      <c r="FKX46" s="473"/>
      <c r="FKY46" s="473"/>
      <c r="FKZ46" s="473"/>
      <c r="FLA46" s="473"/>
      <c r="FLB46" s="473"/>
      <c r="FLC46" s="473"/>
      <c r="FLD46" s="473"/>
      <c r="FLE46" s="473"/>
      <c r="FLF46" s="473"/>
      <c r="FLG46" s="473"/>
      <c r="FLH46" s="473"/>
      <c r="FLI46" s="473"/>
      <c r="FLJ46" s="473"/>
      <c r="FLK46" s="473"/>
      <c r="FLL46" s="473"/>
      <c r="FLM46" s="473"/>
      <c r="FLN46" s="473"/>
      <c r="FLO46" s="473"/>
      <c r="FLP46" s="473"/>
      <c r="FLQ46" s="473"/>
      <c r="FLR46" s="473"/>
      <c r="FLS46" s="473"/>
      <c r="FLT46" s="473"/>
      <c r="FLU46" s="473"/>
      <c r="FLV46" s="473"/>
      <c r="FLW46" s="473"/>
      <c r="FLX46" s="473"/>
      <c r="FLY46" s="473"/>
      <c r="FLZ46" s="473"/>
      <c r="FMA46" s="473"/>
      <c r="FMB46" s="473"/>
      <c r="FMC46" s="473"/>
      <c r="FMD46" s="473"/>
      <c r="FME46" s="473"/>
      <c r="FMF46" s="473"/>
      <c r="FMG46" s="473"/>
      <c r="FMH46" s="473"/>
      <c r="FMI46" s="473"/>
      <c r="FMJ46" s="473"/>
      <c r="FMK46" s="473"/>
      <c r="FML46" s="473"/>
      <c r="FMM46" s="473"/>
      <c r="FMN46" s="473"/>
      <c r="FMO46" s="473"/>
      <c r="FMP46" s="473"/>
      <c r="FMQ46" s="473"/>
      <c r="FMR46" s="473"/>
      <c r="FMS46" s="473"/>
      <c r="FMT46" s="473"/>
      <c r="FMU46" s="473"/>
      <c r="FMV46" s="473"/>
      <c r="FMW46" s="473"/>
      <c r="FMX46" s="473"/>
      <c r="FMY46" s="473"/>
      <c r="FMZ46" s="473"/>
      <c r="FNA46" s="473"/>
      <c r="FNB46" s="473"/>
      <c r="FNC46" s="473"/>
      <c r="FND46" s="473"/>
      <c r="FNE46" s="473"/>
      <c r="FNF46" s="473"/>
      <c r="FNG46" s="473"/>
      <c r="FNH46" s="473"/>
      <c r="FNI46" s="473"/>
      <c r="FNJ46" s="473"/>
      <c r="FNK46" s="473"/>
      <c r="FNL46" s="473"/>
      <c r="FNM46" s="473"/>
      <c r="FNN46" s="473"/>
      <c r="FNO46" s="473"/>
      <c r="FNP46" s="473"/>
      <c r="FNQ46" s="473"/>
      <c r="FNR46" s="473"/>
      <c r="FNS46" s="473"/>
      <c r="FNT46" s="473"/>
      <c r="FNU46" s="473"/>
      <c r="FNV46" s="473"/>
      <c r="FNW46" s="473"/>
      <c r="FNX46" s="473"/>
      <c r="FNY46" s="473"/>
      <c r="FNZ46" s="473"/>
      <c r="FOA46" s="473"/>
      <c r="FOB46" s="473"/>
      <c r="FOC46" s="473"/>
      <c r="FOD46" s="473"/>
      <c r="FOE46" s="473"/>
      <c r="FOF46" s="473"/>
      <c r="FOG46" s="473"/>
      <c r="FOH46" s="473"/>
      <c r="FOI46" s="473"/>
      <c r="FOJ46" s="473"/>
      <c r="FOK46" s="473"/>
      <c r="FOL46" s="473"/>
      <c r="FOM46" s="473"/>
      <c r="FON46" s="473"/>
      <c r="FOO46" s="473"/>
      <c r="FOP46" s="473"/>
      <c r="FOQ46" s="473"/>
      <c r="FOR46" s="473"/>
      <c r="FOS46" s="473"/>
      <c r="FOT46" s="473"/>
      <c r="FOU46" s="473"/>
      <c r="FOV46" s="473"/>
      <c r="FOW46" s="473"/>
      <c r="FOX46" s="473"/>
      <c r="FOY46" s="473"/>
      <c r="FOZ46" s="473"/>
      <c r="FPA46" s="473"/>
      <c r="FPB46" s="473"/>
      <c r="FPC46" s="473"/>
      <c r="FPD46" s="473"/>
      <c r="FPE46" s="473"/>
      <c r="FPF46" s="473"/>
      <c r="FPG46" s="473"/>
      <c r="FPH46" s="473"/>
      <c r="FPI46" s="473"/>
      <c r="FPJ46" s="473"/>
      <c r="FPK46" s="473"/>
      <c r="FPL46" s="473"/>
      <c r="FPM46" s="473"/>
      <c r="FPN46" s="473"/>
      <c r="FPO46" s="473"/>
      <c r="FPP46" s="473"/>
      <c r="FPQ46" s="473"/>
      <c r="FPR46" s="473"/>
      <c r="FPS46" s="473"/>
      <c r="FPT46" s="473"/>
      <c r="FPU46" s="473"/>
      <c r="FPV46" s="473"/>
      <c r="FPW46" s="473"/>
      <c r="FPX46" s="473"/>
      <c r="FPY46" s="473"/>
      <c r="FPZ46" s="473"/>
      <c r="FQA46" s="473"/>
      <c r="FQB46" s="473"/>
      <c r="FQC46" s="473"/>
      <c r="FQD46" s="473"/>
      <c r="FQE46" s="473"/>
      <c r="FQF46" s="473"/>
      <c r="FQG46" s="473"/>
      <c r="FQH46" s="473"/>
      <c r="FQI46" s="473"/>
      <c r="FQJ46" s="473"/>
      <c r="FQK46" s="473"/>
      <c r="FQL46" s="473"/>
      <c r="FQM46" s="473"/>
      <c r="FQN46" s="473"/>
      <c r="FQO46" s="473"/>
      <c r="FQP46" s="473"/>
      <c r="FQQ46" s="473"/>
      <c r="FQR46" s="473"/>
      <c r="FQS46" s="473"/>
      <c r="FQT46" s="473"/>
      <c r="FQU46" s="473"/>
      <c r="FQV46" s="473"/>
      <c r="FQW46" s="473"/>
      <c r="FQX46" s="473"/>
      <c r="FQY46" s="473"/>
      <c r="FQZ46" s="473"/>
      <c r="FRA46" s="473"/>
      <c r="FRB46" s="473"/>
      <c r="FRC46" s="473"/>
      <c r="FRD46" s="473"/>
      <c r="FRE46" s="473"/>
      <c r="FRF46" s="473"/>
      <c r="FRG46" s="473"/>
      <c r="FRH46" s="473"/>
      <c r="FRI46" s="473"/>
      <c r="FRJ46" s="473"/>
      <c r="FRK46" s="473"/>
      <c r="FRL46" s="473"/>
      <c r="FRM46" s="473"/>
      <c r="FRN46" s="473"/>
      <c r="FRO46" s="473"/>
      <c r="FRP46" s="473"/>
      <c r="FRQ46" s="473"/>
      <c r="FRR46" s="473"/>
      <c r="FRS46" s="473"/>
      <c r="FRT46" s="473"/>
      <c r="FRU46" s="473"/>
      <c r="FRV46" s="473"/>
      <c r="FRW46" s="473"/>
      <c r="FRX46" s="473"/>
      <c r="FRY46" s="473"/>
      <c r="FRZ46" s="473"/>
      <c r="FSA46" s="473"/>
      <c r="FSB46" s="473"/>
      <c r="FSC46" s="473"/>
      <c r="FSD46" s="473"/>
      <c r="FSE46" s="473"/>
      <c r="FSF46" s="473"/>
      <c r="FSG46" s="473"/>
      <c r="FSH46" s="473"/>
      <c r="FSI46" s="473"/>
      <c r="FSJ46" s="473"/>
      <c r="FSK46" s="473"/>
      <c r="FSL46" s="473"/>
      <c r="FSM46" s="473"/>
      <c r="FSN46" s="473"/>
      <c r="FSO46" s="473"/>
      <c r="FSP46" s="473"/>
      <c r="FSQ46" s="473"/>
      <c r="FSR46" s="473"/>
      <c r="FSS46" s="473"/>
      <c r="FST46" s="473"/>
      <c r="FSU46" s="473"/>
      <c r="FSV46" s="473"/>
      <c r="FSW46" s="473"/>
      <c r="FSX46" s="473"/>
      <c r="FSY46" s="473"/>
      <c r="FSZ46" s="473"/>
      <c r="FTA46" s="473"/>
      <c r="FTB46" s="473"/>
      <c r="FTC46" s="473"/>
      <c r="FTD46" s="473"/>
      <c r="FTE46" s="473"/>
      <c r="FTF46" s="473"/>
      <c r="FTG46" s="473"/>
      <c r="FTH46" s="473"/>
      <c r="FTI46" s="473"/>
      <c r="FTJ46" s="473"/>
      <c r="FTK46" s="473"/>
      <c r="FTL46" s="473"/>
      <c r="FTM46" s="473"/>
      <c r="FTN46" s="473"/>
      <c r="FTO46" s="473"/>
      <c r="FTP46" s="473"/>
      <c r="FTQ46" s="473"/>
      <c r="FTR46" s="473"/>
      <c r="FTS46" s="473"/>
      <c r="FTT46" s="473"/>
      <c r="FTU46" s="473"/>
      <c r="FTV46" s="473"/>
      <c r="FTW46" s="473"/>
      <c r="FTX46" s="473"/>
      <c r="FTY46" s="473"/>
      <c r="FTZ46" s="473"/>
      <c r="FUA46" s="473"/>
      <c r="FUB46" s="473"/>
      <c r="FUC46" s="473"/>
      <c r="FUD46" s="473"/>
      <c r="FUE46" s="473"/>
      <c r="FUF46" s="473"/>
      <c r="FUG46" s="473"/>
      <c r="FUH46" s="473"/>
      <c r="FUI46" s="473"/>
      <c r="FUJ46" s="473"/>
      <c r="FUK46" s="473"/>
      <c r="FUL46" s="473"/>
      <c r="FUM46" s="473"/>
      <c r="FUN46" s="473"/>
      <c r="FUO46" s="473"/>
      <c r="FUP46" s="473"/>
      <c r="FUQ46" s="473"/>
      <c r="FUR46" s="473"/>
      <c r="FUS46" s="473"/>
      <c r="FUT46" s="473"/>
      <c r="FUU46" s="473"/>
      <c r="FUV46" s="473"/>
      <c r="FUW46" s="473"/>
      <c r="FUX46" s="473"/>
      <c r="FUY46" s="473"/>
      <c r="FUZ46" s="473"/>
      <c r="FVA46" s="473"/>
      <c r="FVB46" s="473"/>
      <c r="FVC46" s="473"/>
      <c r="FVD46" s="473"/>
      <c r="FVE46" s="473"/>
      <c r="FVF46" s="473"/>
      <c r="FVG46" s="473"/>
      <c r="FVH46" s="473"/>
      <c r="FVI46" s="473"/>
      <c r="FVJ46" s="473"/>
      <c r="FVK46" s="473"/>
      <c r="FVL46" s="473"/>
      <c r="FVM46" s="473"/>
      <c r="FVN46" s="473"/>
      <c r="FVO46" s="473"/>
      <c r="FVP46" s="473"/>
      <c r="FVQ46" s="473"/>
      <c r="FVR46" s="473"/>
      <c r="FVS46" s="473"/>
      <c r="FVT46" s="473"/>
      <c r="FVU46" s="473"/>
      <c r="FVV46" s="473"/>
      <c r="FVW46" s="473"/>
      <c r="FVX46" s="473"/>
      <c r="FVY46" s="473"/>
      <c r="FVZ46" s="473"/>
      <c r="FWA46" s="473"/>
      <c r="FWB46" s="473"/>
      <c r="FWC46" s="473"/>
      <c r="FWD46" s="473"/>
      <c r="FWE46" s="473"/>
      <c r="FWF46" s="473"/>
      <c r="FWG46" s="473"/>
      <c r="FWH46" s="473"/>
      <c r="FWI46" s="473"/>
      <c r="FWJ46" s="473"/>
      <c r="FWK46" s="473"/>
      <c r="FWL46" s="473"/>
      <c r="FWM46" s="473"/>
      <c r="FWN46" s="473"/>
      <c r="FWO46" s="473"/>
      <c r="FWP46" s="473"/>
      <c r="FWQ46" s="473"/>
      <c r="FWR46" s="473"/>
      <c r="FWS46" s="473"/>
      <c r="FWT46" s="473"/>
      <c r="FWU46" s="473"/>
      <c r="FWV46" s="473"/>
      <c r="FWW46" s="473"/>
      <c r="FWX46" s="473"/>
      <c r="FWY46" s="473"/>
      <c r="FWZ46" s="473"/>
      <c r="FXA46" s="473"/>
      <c r="FXB46" s="473"/>
      <c r="FXC46" s="473"/>
      <c r="FXD46" s="473"/>
      <c r="FXE46" s="473"/>
      <c r="FXF46" s="473"/>
      <c r="FXG46" s="473"/>
      <c r="FXH46" s="473"/>
      <c r="FXI46" s="473"/>
      <c r="FXJ46" s="473"/>
      <c r="FXK46" s="473"/>
      <c r="FXL46" s="473"/>
      <c r="FXM46" s="473"/>
      <c r="FXN46" s="473"/>
      <c r="FXO46" s="473"/>
      <c r="FXP46" s="473"/>
      <c r="FXQ46" s="473"/>
      <c r="FXR46" s="473"/>
      <c r="FXS46" s="473"/>
      <c r="FXT46" s="473"/>
      <c r="FXU46" s="473"/>
      <c r="FXV46" s="473"/>
      <c r="FXW46" s="473"/>
      <c r="FXX46" s="473"/>
      <c r="FXY46" s="473"/>
      <c r="FXZ46" s="473"/>
      <c r="FYA46" s="473"/>
      <c r="FYB46" s="473"/>
      <c r="FYC46" s="473"/>
      <c r="FYD46" s="473"/>
      <c r="FYE46" s="473"/>
      <c r="FYF46" s="473"/>
      <c r="FYG46" s="473"/>
      <c r="FYH46" s="473"/>
      <c r="FYI46" s="473"/>
      <c r="FYJ46" s="473"/>
      <c r="FYK46" s="473"/>
      <c r="FYL46" s="473"/>
      <c r="FYM46" s="473"/>
      <c r="FYN46" s="473"/>
      <c r="FYO46" s="473"/>
      <c r="FYP46" s="473"/>
      <c r="FYQ46" s="473"/>
      <c r="FYR46" s="473"/>
      <c r="FYS46" s="473"/>
      <c r="FYT46" s="473"/>
      <c r="FYU46" s="473"/>
      <c r="FYV46" s="473"/>
      <c r="FYW46" s="473"/>
      <c r="FYX46" s="473"/>
      <c r="FYY46" s="473"/>
      <c r="FYZ46" s="473"/>
      <c r="FZA46" s="473"/>
      <c r="FZB46" s="473"/>
      <c r="FZC46" s="473"/>
      <c r="FZD46" s="473"/>
      <c r="FZE46" s="473"/>
      <c r="FZF46" s="473"/>
      <c r="FZG46" s="473"/>
      <c r="FZH46" s="473"/>
      <c r="FZI46" s="473"/>
      <c r="FZJ46" s="473"/>
      <c r="FZK46" s="473"/>
      <c r="FZL46" s="473"/>
      <c r="FZM46" s="473"/>
      <c r="FZN46" s="473"/>
      <c r="FZO46" s="473"/>
      <c r="FZP46" s="473"/>
      <c r="FZQ46" s="473"/>
      <c r="FZR46" s="473"/>
      <c r="FZS46" s="473"/>
      <c r="FZT46" s="473"/>
      <c r="FZU46" s="473"/>
      <c r="FZV46" s="473"/>
      <c r="FZW46" s="473"/>
      <c r="FZX46" s="473"/>
      <c r="FZY46" s="473"/>
      <c r="FZZ46" s="473"/>
      <c r="GAA46" s="473"/>
      <c r="GAB46" s="473"/>
      <c r="GAC46" s="473"/>
      <c r="GAD46" s="473"/>
      <c r="GAE46" s="473"/>
      <c r="GAF46" s="473"/>
      <c r="GAG46" s="473"/>
      <c r="GAH46" s="473"/>
      <c r="GAI46" s="473"/>
      <c r="GAJ46" s="473"/>
      <c r="GAK46" s="473"/>
      <c r="GAL46" s="473"/>
      <c r="GAM46" s="473"/>
      <c r="GAN46" s="473"/>
      <c r="GAO46" s="473"/>
      <c r="GAP46" s="473"/>
      <c r="GAQ46" s="473"/>
      <c r="GAR46" s="473"/>
      <c r="GAS46" s="473"/>
      <c r="GAT46" s="473"/>
      <c r="GAU46" s="473"/>
      <c r="GAV46" s="473"/>
      <c r="GAW46" s="473"/>
      <c r="GAX46" s="473"/>
      <c r="GAY46" s="473"/>
      <c r="GAZ46" s="473"/>
      <c r="GBA46" s="473"/>
      <c r="GBB46" s="473"/>
      <c r="GBC46" s="473"/>
      <c r="GBD46" s="473"/>
      <c r="GBE46" s="473"/>
      <c r="GBF46" s="473"/>
      <c r="GBG46" s="473"/>
      <c r="GBH46" s="473"/>
      <c r="GBI46" s="473"/>
      <c r="GBJ46" s="473"/>
      <c r="GBK46" s="473"/>
      <c r="GBL46" s="473"/>
      <c r="GBM46" s="473"/>
      <c r="GBN46" s="473"/>
      <c r="GBO46" s="473"/>
      <c r="GBP46" s="473"/>
      <c r="GBQ46" s="473"/>
      <c r="GBR46" s="473"/>
      <c r="GBS46" s="473"/>
      <c r="GBT46" s="473"/>
      <c r="GBU46" s="473"/>
      <c r="GBV46" s="473"/>
      <c r="GBW46" s="473"/>
      <c r="GBX46" s="473"/>
      <c r="GBY46" s="473"/>
      <c r="GBZ46" s="473"/>
      <c r="GCA46" s="473"/>
      <c r="GCB46" s="473"/>
      <c r="GCC46" s="473"/>
      <c r="GCD46" s="473"/>
      <c r="GCE46" s="473"/>
      <c r="GCF46" s="473"/>
      <c r="GCG46" s="473"/>
      <c r="GCH46" s="473"/>
      <c r="GCI46" s="473"/>
      <c r="GCJ46" s="473"/>
      <c r="GCK46" s="473"/>
      <c r="GCL46" s="473"/>
      <c r="GCM46" s="473"/>
      <c r="GCN46" s="473"/>
      <c r="GCO46" s="473"/>
      <c r="GCP46" s="473"/>
      <c r="GCQ46" s="473"/>
      <c r="GCR46" s="473"/>
      <c r="GCS46" s="473"/>
      <c r="GCT46" s="473"/>
      <c r="GCU46" s="473"/>
      <c r="GCV46" s="473"/>
      <c r="GCW46" s="473"/>
      <c r="GCX46" s="473"/>
      <c r="GCY46" s="473"/>
      <c r="GCZ46" s="473"/>
      <c r="GDA46" s="473"/>
      <c r="GDB46" s="473"/>
      <c r="GDC46" s="473"/>
      <c r="GDD46" s="473"/>
      <c r="GDE46" s="473"/>
      <c r="GDF46" s="473"/>
      <c r="GDG46" s="473"/>
      <c r="GDH46" s="473"/>
      <c r="GDI46" s="473"/>
      <c r="GDJ46" s="473"/>
      <c r="GDK46" s="473"/>
      <c r="GDL46" s="473"/>
      <c r="GDM46" s="473"/>
      <c r="GDN46" s="473"/>
      <c r="GDO46" s="473"/>
      <c r="GDP46" s="473"/>
      <c r="GDQ46" s="473"/>
      <c r="GDR46" s="473"/>
      <c r="GDS46" s="473"/>
      <c r="GDT46" s="473"/>
      <c r="GDU46" s="473"/>
      <c r="GDV46" s="473"/>
      <c r="GDW46" s="473"/>
      <c r="GDX46" s="473"/>
      <c r="GDY46" s="473"/>
      <c r="GDZ46" s="473"/>
      <c r="GEA46" s="473"/>
      <c r="GEB46" s="473"/>
      <c r="GEC46" s="473"/>
      <c r="GED46" s="473"/>
      <c r="GEE46" s="473"/>
      <c r="GEF46" s="473"/>
      <c r="GEG46" s="473"/>
      <c r="GEH46" s="473"/>
      <c r="GEI46" s="473"/>
      <c r="GEJ46" s="473"/>
      <c r="GEK46" s="473"/>
      <c r="GEL46" s="473"/>
      <c r="GEM46" s="473"/>
      <c r="GEN46" s="473"/>
      <c r="GEO46" s="473"/>
      <c r="GEP46" s="473"/>
      <c r="GEQ46" s="473"/>
      <c r="GER46" s="473"/>
      <c r="GES46" s="473"/>
      <c r="GET46" s="473"/>
      <c r="GEU46" s="473"/>
      <c r="GEV46" s="473"/>
      <c r="GEW46" s="473"/>
      <c r="GEX46" s="473"/>
      <c r="GEY46" s="473"/>
      <c r="GEZ46" s="473"/>
      <c r="GFA46" s="473"/>
      <c r="GFB46" s="473"/>
      <c r="GFC46" s="473"/>
      <c r="GFD46" s="473"/>
      <c r="GFE46" s="473"/>
      <c r="GFF46" s="473"/>
      <c r="GFG46" s="473"/>
      <c r="GFH46" s="473"/>
      <c r="GFI46" s="473"/>
      <c r="GFJ46" s="473"/>
      <c r="GFK46" s="473"/>
      <c r="GFL46" s="473"/>
      <c r="GFM46" s="473"/>
      <c r="GFN46" s="473"/>
      <c r="GFO46" s="473"/>
      <c r="GFP46" s="473"/>
      <c r="GFQ46" s="473"/>
      <c r="GFR46" s="473"/>
      <c r="GFS46" s="473"/>
      <c r="GFT46" s="473"/>
      <c r="GFU46" s="473"/>
      <c r="GFV46" s="473"/>
      <c r="GFW46" s="473"/>
      <c r="GFX46" s="473"/>
      <c r="GFY46" s="473"/>
      <c r="GFZ46" s="473"/>
      <c r="GGA46" s="473"/>
      <c r="GGB46" s="473"/>
      <c r="GGC46" s="473"/>
      <c r="GGD46" s="473"/>
      <c r="GGE46" s="473"/>
      <c r="GGF46" s="473"/>
      <c r="GGG46" s="473"/>
      <c r="GGH46" s="473"/>
      <c r="GGI46" s="473"/>
      <c r="GGJ46" s="473"/>
      <c r="GGK46" s="473"/>
      <c r="GGL46" s="473"/>
      <c r="GGM46" s="473"/>
      <c r="GGN46" s="473"/>
      <c r="GGO46" s="473"/>
      <c r="GGP46" s="473"/>
      <c r="GGQ46" s="473"/>
      <c r="GGR46" s="473"/>
      <c r="GGS46" s="473"/>
      <c r="GGT46" s="473"/>
      <c r="GGU46" s="473"/>
      <c r="GGV46" s="473"/>
      <c r="GGW46" s="473"/>
      <c r="GGX46" s="473"/>
      <c r="GGY46" s="473"/>
      <c r="GGZ46" s="473"/>
      <c r="GHA46" s="473"/>
      <c r="GHB46" s="473"/>
      <c r="GHC46" s="473"/>
      <c r="GHD46" s="473"/>
      <c r="GHE46" s="473"/>
      <c r="GHF46" s="473"/>
      <c r="GHG46" s="473"/>
      <c r="GHH46" s="473"/>
      <c r="GHI46" s="473"/>
      <c r="GHJ46" s="473"/>
      <c r="GHK46" s="473"/>
      <c r="GHL46" s="473"/>
      <c r="GHM46" s="473"/>
      <c r="GHN46" s="473"/>
      <c r="GHO46" s="473"/>
      <c r="GHP46" s="473"/>
      <c r="GHQ46" s="473"/>
      <c r="GHR46" s="473"/>
      <c r="GHS46" s="473"/>
      <c r="GHT46" s="473"/>
      <c r="GHU46" s="473"/>
      <c r="GHV46" s="473"/>
      <c r="GHW46" s="473"/>
      <c r="GHX46" s="473"/>
      <c r="GHY46" s="473"/>
      <c r="GHZ46" s="473"/>
      <c r="GIA46" s="473"/>
      <c r="GIB46" s="473"/>
      <c r="GIC46" s="473"/>
      <c r="GID46" s="473"/>
      <c r="GIE46" s="473"/>
      <c r="GIF46" s="473"/>
      <c r="GIG46" s="473"/>
      <c r="GIH46" s="473"/>
      <c r="GII46" s="473"/>
      <c r="GIJ46" s="473"/>
      <c r="GIK46" s="473"/>
      <c r="GIL46" s="473"/>
      <c r="GIM46" s="473"/>
      <c r="GIN46" s="473"/>
      <c r="GIO46" s="473"/>
      <c r="GIP46" s="473"/>
      <c r="GIQ46" s="473"/>
      <c r="GIR46" s="473"/>
      <c r="GIS46" s="473"/>
      <c r="GIT46" s="473"/>
      <c r="GIU46" s="473"/>
      <c r="GIV46" s="473"/>
      <c r="GIW46" s="473"/>
      <c r="GIX46" s="473"/>
      <c r="GIY46" s="473"/>
      <c r="GIZ46" s="473"/>
      <c r="GJA46" s="473"/>
      <c r="GJB46" s="473"/>
      <c r="GJC46" s="473"/>
      <c r="GJD46" s="473"/>
      <c r="GJE46" s="473"/>
      <c r="GJF46" s="473"/>
      <c r="GJG46" s="473"/>
      <c r="GJH46" s="473"/>
      <c r="GJI46" s="473"/>
      <c r="GJJ46" s="473"/>
      <c r="GJK46" s="473"/>
      <c r="GJL46" s="473"/>
      <c r="GJM46" s="473"/>
      <c r="GJN46" s="473"/>
      <c r="GJO46" s="473"/>
      <c r="GJP46" s="473"/>
      <c r="GJQ46" s="473"/>
      <c r="GJR46" s="473"/>
      <c r="GJS46" s="473"/>
      <c r="GJT46" s="473"/>
      <c r="GJU46" s="473"/>
      <c r="GJV46" s="473"/>
      <c r="GJW46" s="473"/>
      <c r="GJX46" s="473"/>
      <c r="GJY46" s="473"/>
      <c r="GJZ46" s="473"/>
      <c r="GKA46" s="473"/>
      <c r="GKB46" s="473"/>
      <c r="GKC46" s="473"/>
      <c r="GKD46" s="473"/>
      <c r="GKE46" s="473"/>
      <c r="GKF46" s="473"/>
      <c r="GKG46" s="473"/>
      <c r="GKH46" s="473"/>
      <c r="GKI46" s="473"/>
      <c r="GKJ46" s="473"/>
      <c r="GKK46" s="473"/>
      <c r="GKL46" s="473"/>
      <c r="GKM46" s="473"/>
      <c r="GKN46" s="473"/>
      <c r="GKO46" s="473"/>
      <c r="GKP46" s="473"/>
      <c r="GKQ46" s="473"/>
      <c r="GKR46" s="473"/>
      <c r="GKS46" s="473"/>
      <c r="GKT46" s="473"/>
      <c r="GKU46" s="473"/>
      <c r="GKV46" s="473"/>
      <c r="GKW46" s="473"/>
      <c r="GKX46" s="473"/>
      <c r="GKY46" s="473"/>
      <c r="GKZ46" s="473"/>
      <c r="GLA46" s="473"/>
      <c r="GLB46" s="473"/>
      <c r="GLC46" s="473"/>
      <c r="GLD46" s="473"/>
      <c r="GLE46" s="473"/>
      <c r="GLF46" s="473"/>
      <c r="GLG46" s="473"/>
      <c r="GLH46" s="473"/>
      <c r="GLI46" s="473"/>
      <c r="GLJ46" s="473"/>
      <c r="GLK46" s="473"/>
      <c r="GLL46" s="473"/>
      <c r="GLM46" s="473"/>
      <c r="GLN46" s="473"/>
      <c r="GLO46" s="473"/>
      <c r="GLP46" s="473"/>
      <c r="GLQ46" s="473"/>
      <c r="GLR46" s="473"/>
      <c r="GLS46" s="473"/>
      <c r="GLT46" s="473"/>
      <c r="GLU46" s="473"/>
      <c r="GLV46" s="473"/>
      <c r="GLW46" s="473"/>
      <c r="GLX46" s="473"/>
      <c r="GLY46" s="473"/>
      <c r="GLZ46" s="473"/>
      <c r="GMA46" s="473"/>
      <c r="GMB46" s="473"/>
      <c r="GMC46" s="473"/>
      <c r="GMD46" s="473"/>
      <c r="GME46" s="473"/>
      <c r="GMF46" s="473"/>
      <c r="GMG46" s="473"/>
      <c r="GMH46" s="473"/>
      <c r="GMI46" s="473"/>
      <c r="GMJ46" s="473"/>
      <c r="GMK46" s="473"/>
      <c r="GML46" s="473"/>
      <c r="GMM46" s="473"/>
      <c r="GMN46" s="473"/>
      <c r="GMO46" s="473"/>
      <c r="GMP46" s="473"/>
      <c r="GMQ46" s="473"/>
      <c r="GMR46" s="473"/>
      <c r="GMS46" s="473"/>
      <c r="GMT46" s="473"/>
      <c r="GMU46" s="473"/>
      <c r="GMV46" s="473"/>
      <c r="GMW46" s="473"/>
      <c r="GMX46" s="473"/>
      <c r="GMY46" s="473"/>
      <c r="GMZ46" s="473"/>
      <c r="GNA46" s="473"/>
      <c r="GNB46" s="473"/>
      <c r="GNC46" s="473"/>
      <c r="GND46" s="473"/>
      <c r="GNE46" s="473"/>
      <c r="GNF46" s="473"/>
      <c r="GNG46" s="473"/>
      <c r="GNH46" s="473"/>
      <c r="GNI46" s="473"/>
      <c r="GNJ46" s="473"/>
      <c r="GNK46" s="473"/>
      <c r="GNL46" s="473"/>
      <c r="GNM46" s="473"/>
      <c r="GNN46" s="473"/>
      <c r="GNO46" s="473"/>
      <c r="GNP46" s="473"/>
      <c r="GNQ46" s="473"/>
      <c r="GNR46" s="473"/>
      <c r="GNS46" s="473"/>
      <c r="GNT46" s="473"/>
      <c r="GNU46" s="473"/>
      <c r="GNV46" s="473"/>
      <c r="GNW46" s="473"/>
      <c r="GNX46" s="473"/>
      <c r="GNY46" s="473"/>
      <c r="GNZ46" s="473"/>
      <c r="GOA46" s="473"/>
      <c r="GOB46" s="473"/>
      <c r="GOC46" s="473"/>
      <c r="GOD46" s="473"/>
      <c r="GOE46" s="473"/>
      <c r="GOF46" s="473"/>
      <c r="GOG46" s="473"/>
      <c r="GOH46" s="473"/>
      <c r="GOI46" s="473"/>
      <c r="GOJ46" s="473"/>
      <c r="GOK46" s="473"/>
      <c r="GOL46" s="473"/>
      <c r="GOM46" s="473"/>
      <c r="GON46" s="473"/>
      <c r="GOO46" s="473"/>
      <c r="GOP46" s="473"/>
      <c r="GOQ46" s="473"/>
      <c r="GOR46" s="473"/>
      <c r="GOS46" s="473"/>
      <c r="GOT46" s="473"/>
      <c r="GOU46" s="473"/>
      <c r="GOV46" s="473"/>
      <c r="GOW46" s="473"/>
      <c r="GOX46" s="473"/>
      <c r="GOY46" s="473"/>
      <c r="GOZ46" s="473"/>
      <c r="GPA46" s="473"/>
      <c r="GPB46" s="473"/>
      <c r="GPC46" s="473"/>
      <c r="GPD46" s="473"/>
      <c r="GPE46" s="473"/>
      <c r="GPF46" s="473"/>
      <c r="GPG46" s="473"/>
      <c r="GPH46" s="473"/>
      <c r="GPI46" s="473"/>
      <c r="GPJ46" s="473"/>
      <c r="GPK46" s="473"/>
      <c r="GPL46" s="473"/>
      <c r="GPM46" s="473"/>
      <c r="GPN46" s="473"/>
      <c r="GPO46" s="473"/>
      <c r="GPP46" s="473"/>
      <c r="GPQ46" s="473"/>
      <c r="GPR46" s="473"/>
      <c r="GPS46" s="473"/>
      <c r="GPT46" s="473"/>
      <c r="GPU46" s="473"/>
      <c r="GPV46" s="473"/>
      <c r="GPW46" s="473"/>
      <c r="GPX46" s="473"/>
      <c r="GPY46" s="473"/>
      <c r="GPZ46" s="473"/>
      <c r="GQA46" s="473"/>
      <c r="GQB46" s="473"/>
      <c r="GQC46" s="473"/>
      <c r="GQD46" s="473"/>
      <c r="GQE46" s="473"/>
      <c r="GQF46" s="473"/>
      <c r="GQG46" s="473"/>
      <c r="GQH46" s="473"/>
      <c r="GQI46" s="473"/>
      <c r="GQJ46" s="473"/>
      <c r="GQK46" s="473"/>
      <c r="GQL46" s="473"/>
      <c r="GQM46" s="473"/>
      <c r="GQN46" s="473"/>
      <c r="GQO46" s="473"/>
      <c r="GQP46" s="473"/>
      <c r="GQQ46" s="473"/>
      <c r="GQR46" s="473"/>
      <c r="GQS46" s="473"/>
      <c r="GQT46" s="473"/>
      <c r="GQU46" s="473"/>
      <c r="GQV46" s="473"/>
      <c r="GQW46" s="473"/>
      <c r="GQX46" s="473"/>
      <c r="GQY46" s="473"/>
      <c r="GQZ46" s="473"/>
      <c r="GRA46" s="473"/>
      <c r="GRB46" s="473"/>
      <c r="GRC46" s="473"/>
      <c r="GRD46" s="473"/>
      <c r="GRE46" s="473"/>
      <c r="GRF46" s="473"/>
      <c r="GRG46" s="473"/>
      <c r="GRH46" s="473"/>
      <c r="GRI46" s="473"/>
      <c r="GRJ46" s="473"/>
      <c r="GRK46" s="473"/>
      <c r="GRL46" s="473"/>
      <c r="GRM46" s="473"/>
      <c r="GRN46" s="473"/>
      <c r="GRO46" s="473"/>
      <c r="GRP46" s="473"/>
      <c r="GRQ46" s="473"/>
      <c r="GRR46" s="473"/>
      <c r="GRS46" s="473"/>
      <c r="GRT46" s="473"/>
      <c r="GRU46" s="473"/>
      <c r="GRV46" s="473"/>
      <c r="GRW46" s="473"/>
      <c r="GRX46" s="473"/>
      <c r="GRY46" s="473"/>
      <c r="GRZ46" s="473"/>
      <c r="GSA46" s="473"/>
      <c r="GSB46" s="473"/>
      <c r="GSC46" s="473"/>
      <c r="GSD46" s="473"/>
      <c r="GSE46" s="473"/>
      <c r="GSF46" s="473"/>
      <c r="GSG46" s="473"/>
      <c r="GSH46" s="473"/>
      <c r="GSI46" s="473"/>
      <c r="GSJ46" s="473"/>
      <c r="GSK46" s="473"/>
      <c r="GSL46" s="473"/>
      <c r="GSM46" s="473"/>
      <c r="GSN46" s="473"/>
      <c r="GSO46" s="473"/>
      <c r="GSP46" s="473"/>
      <c r="GSQ46" s="473"/>
      <c r="GSR46" s="473"/>
      <c r="GSS46" s="473"/>
      <c r="GST46" s="473"/>
      <c r="GSU46" s="473"/>
      <c r="GSV46" s="473"/>
      <c r="GSW46" s="473"/>
      <c r="GSX46" s="473"/>
      <c r="GSY46" s="473"/>
      <c r="GSZ46" s="473"/>
      <c r="GTA46" s="473"/>
      <c r="GTB46" s="473"/>
      <c r="GTC46" s="473"/>
      <c r="GTD46" s="473"/>
      <c r="GTE46" s="473"/>
      <c r="GTF46" s="473"/>
      <c r="GTG46" s="473"/>
      <c r="GTH46" s="473"/>
      <c r="GTI46" s="473"/>
      <c r="GTJ46" s="473"/>
      <c r="GTK46" s="473"/>
      <c r="GTL46" s="473"/>
      <c r="GTM46" s="473"/>
      <c r="GTN46" s="473"/>
      <c r="GTO46" s="473"/>
      <c r="GTP46" s="473"/>
      <c r="GTQ46" s="473"/>
      <c r="GTR46" s="473"/>
      <c r="GTS46" s="473"/>
      <c r="GTT46" s="473"/>
      <c r="GTU46" s="473"/>
      <c r="GTV46" s="473"/>
      <c r="GTW46" s="473"/>
      <c r="GTX46" s="473"/>
      <c r="GTY46" s="473"/>
      <c r="GTZ46" s="473"/>
      <c r="GUA46" s="473"/>
      <c r="GUB46" s="473"/>
      <c r="GUC46" s="473"/>
      <c r="GUD46" s="473"/>
      <c r="GUE46" s="473"/>
      <c r="GUF46" s="473"/>
      <c r="GUG46" s="473"/>
      <c r="GUH46" s="473"/>
      <c r="GUI46" s="473"/>
      <c r="GUJ46" s="473"/>
      <c r="GUK46" s="473"/>
      <c r="GUL46" s="473"/>
      <c r="GUM46" s="473"/>
      <c r="GUN46" s="473"/>
      <c r="GUO46" s="473"/>
      <c r="GUP46" s="473"/>
      <c r="GUQ46" s="473"/>
      <c r="GUR46" s="473"/>
      <c r="GUS46" s="473"/>
      <c r="GUT46" s="473"/>
      <c r="GUU46" s="473"/>
      <c r="GUV46" s="473"/>
      <c r="GUW46" s="473"/>
      <c r="GUX46" s="473"/>
      <c r="GUY46" s="473"/>
      <c r="GUZ46" s="473"/>
      <c r="GVA46" s="473"/>
      <c r="GVB46" s="473"/>
      <c r="GVC46" s="473"/>
      <c r="GVD46" s="473"/>
      <c r="GVE46" s="473"/>
      <c r="GVF46" s="473"/>
      <c r="GVG46" s="473"/>
      <c r="GVH46" s="473"/>
      <c r="GVI46" s="473"/>
      <c r="GVJ46" s="473"/>
      <c r="GVK46" s="473"/>
      <c r="GVL46" s="473"/>
      <c r="GVM46" s="473"/>
      <c r="GVN46" s="473"/>
      <c r="GVO46" s="473"/>
      <c r="GVP46" s="473"/>
      <c r="GVQ46" s="473"/>
      <c r="GVR46" s="473"/>
      <c r="GVS46" s="473"/>
      <c r="GVT46" s="473"/>
      <c r="GVU46" s="473"/>
      <c r="GVV46" s="473"/>
      <c r="GVW46" s="473"/>
      <c r="GVX46" s="473"/>
      <c r="GVY46" s="473"/>
      <c r="GVZ46" s="473"/>
      <c r="GWA46" s="473"/>
      <c r="GWB46" s="473"/>
      <c r="GWC46" s="473"/>
      <c r="GWD46" s="473"/>
      <c r="GWE46" s="473"/>
      <c r="GWF46" s="473"/>
      <c r="GWG46" s="473"/>
      <c r="GWH46" s="473"/>
      <c r="GWI46" s="473"/>
      <c r="GWJ46" s="473"/>
      <c r="GWK46" s="473"/>
      <c r="GWL46" s="473"/>
      <c r="GWM46" s="473"/>
      <c r="GWN46" s="473"/>
      <c r="GWO46" s="473"/>
      <c r="GWP46" s="473"/>
      <c r="GWQ46" s="473"/>
      <c r="GWR46" s="473"/>
      <c r="GWS46" s="473"/>
      <c r="GWT46" s="473"/>
      <c r="GWU46" s="473"/>
      <c r="GWV46" s="473"/>
      <c r="GWW46" s="473"/>
      <c r="GWX46" s="473"/>
      <c r="GWY46" s="473"/>
      <c r="GWZ46" s="473"/>
      <c r="GXA46" s="473"/>
      <c r="GXB46" s="473"/>
      <c r="GXC46" s="473"/>
      <c r="GXD46" s="473"/>
      <c r="GXE46" s="473"/>
      <c r="GXF46" s="473"/>
      <c r="GXG46" s="473"/>
      <c r="GXH46" s="473"/>
      <c r="GXI46" s="473"/>
      <c r="GXJ46" s="473"/>
      <c r="GXK46" s="473"/>
      <c r="GXL46" s="473"/>
      <c r="GXM46" s="473"/>
      <c r="GXN46" s="473"/>
      <c r="GXO46" s="473"/>
      <c r="GXP46" s="473"/>
      <c r="GXQ46" s="473"/>
      <c r="GXR46" s="473"/>
      <c r="GXS46" s="473"/>
      <c r="GXT46" s="473"/>
      <c r="GXU46" s="473"/>
      <c r="GXV46" s="473"/>
      <c r="GXW46" s="473"/>
      <c r="GXX46" s="473"/>
      <c r="GXY46" s="473"/>
      <c r="GXZ46" s="473"/>
      <c r="GYA46" s="473"/>
      <c r="GYB46" s="473"/>
      <c r="GYC46" s="473"/>
      <c r="GYD46" s="473"/>
      <c r="GYE46" s="473"/>
      <c r="GYF46" s="473"/>
      <c r="GYG46" s="473"/>
      <c r="GYH46" s="473"/>
      <c r="GYI46" s="473"/>
      <c r="GYJ46" s="473"/>
      <c r="GYK46" s="473"/>
      <c r="GYL46" s="473"/>
      <c r="GYM46" s="473"/>
      <c r="GYN46" s="473"/>
      <c r="GYO46" s="473"/>
      <c r="GYP46" s="473"/>
      <c r="GYQ46" s="473"/>
      <c r="GYR46" s="473"/>
      <c r="GYS46" s="473"/>
      <c r="GYT46" s="473"/>
      <c r="GYU46" s="473"/>
      <c r="GYV46" s="473"/>
      <c r="GYW46" s="473"/>
      <c r="GYX46" s="473"/>
      <c r="GYY46" s="473"/>
      <c r="GYZ46" s="473"/>
      <c r="GZA46" s="473"/>
      <c r="GZB46" s="473"/>
      <c r="GZC46" s="473"/>
      <c r="GZD46" s="473"/>
      <c r="GZE46" s="473"/>
      <c r="GZF46" s="473"/>
      <c r="GZG46" s="473"/>
      <c r="GZH46" s="473"/>
      <c r="GZI46" s="473"/>
      <c r="GZJ46" s="473"/>
      <c r="GZK46" s="473"/>
      <c r="GZL46" s="473"/>
      <c r="GZM46" s="473"/>
      <c r="GZN46" s="473"/>
      <c r="GZO46" s="473"/>
      <c r="GZP46" s="473"/>
      <c r="GZQ46" s="473"/>
      <c r="GZR46" s="473"/>
      <c r="GZS46" s="473"/>
      <c r="GZT46" s="473"/>
      <c r="GZU46" s="473"/>
      <c r="GZV46" s="473"/>
      <c r="GZW46" s="473"/>
      <c r="GZX46" s="473"/>
      <c r="GZY46" s="473"/>
      <c r="GZZ46" s="473"/>
      <c r="HAA46" s="473"/>
      <c r="HAB46" s="473"/>
      <c r="HAC46" s="473"/>
      <c r="HAD46" s="473"/>
      <c r="HAE46" s="473"/>
      <c r="HAF46" s="473"/>
      <c r="HAG46" s="473"/>
      <c r="HAH46" s="473"/>
      <c r="HAI46" s="473"/>
      <c r="HAJ46" s="473"/>
      <c r="HAK46" s="473"/>
      <c r="HAL46" s="473"/>
      <c r="HAM46" s="473"/>
      <c r="HAN46" s="473"/>
      <c r="HAO46" s="473"/>
      <c r="HAP46" s="473"/>
      <c r="HAQ46" s="473"/>
      <c r="HAR46" s="473"/>
      <c r="HAS46" s="473"/>
      <c r="HAT46" s="473"/>
      <c r="HAU46" s="473"/>
      <c r="HAV46" s="473"/>
      <c r="HAW46" s="473"/>
      <c r="HAX46" s="473"/>
      <c r="HAY46" s="473"/>
      <c r="HAZ46" s="473"/>
      <c r="HBA46" s="473"/>
      <c r="HBB46" s="473"/>
      <c r="HBC46" s="473"/>
      <c r="HBD46" s="473"/>
      <c r="HBE46" s="473"/>
      <c r="HBF46" s="473"/>
      <c r="HBG46" s="473"/>
      <c r="HBH46" s="473"/>
      <c r="HBI46" s="473"/>
      <c r="HBJ46" s="473"/>
      <c r="HBK46" s="473"/>
      <c r="HBL46" s="473"/>
      <c r="HBM46" s="473"/>
      <c r="HBN46" s="473"/>
      <c r="HBO46" s="473"/>
      <c r="HBP46" s="473"/>
      <c r="HBQ46" s="473"/>
      <c r="HBR46" s="473"/>
      <c r="HBS46" s="473"/>
      <c r="HBT46" s="473"/>
      <c r="HBU46" s="473"/>
      <c r="HBV46" s="473"/>
      <c r="HBW46" s="473"/>
      <c r="HBX46" s="473"/>
      <c r="HBY46" s="473"/>
      <c r="HBZ46" s="473"/>
      <c r="HCA46" s="473"/>
      <c r="HCB46" s="473"/>
      <c r="HCC46" s="473"/>
      <c r="HCD46" s="473"/>
      <c r="HCE46" s="473"/>
      <c r="HCF46" s="473"/>
      <c r="HCG46" s="473"/>
      <c r="HCH46" s="473"/>
      <c r="HCI46" s="473"/>
      <c r="HCJ46" s="473"/>
      <c r="HCK46" s="473"/>
      <c r="HCL46" s="473"/>
      <c r="HCM46" s="473"/>
      <c r="HCN46" s="473"/>
      <c r="HCO46" s="473"/>
      <c r="HCP46" s="473"/>
      <c r="HCQ46" s="473"/>
      <c r="HCR46" s="473"/>
      <c r="HCS46" s="473"/>
      <c r="HCT46" s="473"/>
      <c r="HCU46" s="473"/>
      <c r="HCV46" s="473"/>
      <c r="HCW46" s="473"/>
      <c r="HCX46" s="473"/>
      <c r="HCY46" s="473"/>
      <c r="HCZ46" s="473"/>
      <c r="HDA46" s="473"/>
      <c r="HDB46" s="473"/>
      <c r="HDC46" s="473"/>
      <c r="HDD46" s="473"/>
      <c r="HDE46" s="473"/>
      <c r="HDF46" s="473"/>
      <c r="HDG46" s="473"/>
      <c r="HDH46" s="473"/>
      <c r="HDI46" s="473"/>
      <c r="HDJ46" s="473"/>
      <c r="HDK46" s="473"/>
      <c r="HDL46" s="473"/>
      <c r="HDM46" s="473"/>
      <c r="HDN46" s="473"/>
      <c r="HDO46" s="473"/>
      <c r="HDP46" s="473"/>
      <c r="HDQ46" s="473"/>
      <c r="HDR46" s="473"/>
      <c r="HDS46" s="473"/>
      <c r="HDT46" s="473"/>
      <c r="HDU46" s="473"/>
      <c r="HDV46" s="473"/>
      <c r="HDW46" s="473"/>
      <c r="HDX46" s="473"/>
      <c r="HDY46" s="473"/>
      <c r="HDZ46" s="473"/>
      <c r="HEA46" s="473"/>
      <c r="HEB46" s="473"/>
      <c r="HEC46" s="473"/>
      <c r="HED46" s="473"/>
      <c r="HEE46" s="473"/>
      <c r="HEF46" s="473"/>
      <c r="HEG46" s="473"/>
      <c r="HEH46" s="473"/>
      <c r="HEI46" s="473"/>
      <c r="HEJ46" s="473"/>
      <c r="HEK46" s="473"/>
      <c r="HEL46" s="473"/>
      <c r="HEM46" s="473"/>
      <c r="HEN46" s="473"/>
      <c r="HEO46" s="473"/>
      <c r="HEP46" s="473"/>
      <c r="HEQ46" s="473"/>
      <c r="HER46" s="473"/>
      <c r="HES46" s="473"/>
      <c r="HET46" s="473"/>
      <c r="HEU46" s="473"/>
      <c r="HEV46" s="473"/>
      <c r="HEW46" s="473"/>
      <c r="HEX46" s="473"/>
      <c r="HEY46" s="473"/>
      <c r="HEZ46" s="473"/>
      <c r="HFA46" s="473"/>
      <c r="HFB46" s="473"/>
      <c r="HFC46" s="473"/>
      <c r="HFD46" s="473"/>
      <c r="HFE46" s="473"/>
      <c r="HFF46" s="473"/>
      <c r="HFG46" s="473"/>
      <c r="HFH46" s="473"/>
      <c r="HFI46" s="473"/>
      <c r="HFJ46" s="473"/>
      <c r="HFK46" s="473"/>
      <c r="HFL46" s="473"/>
      <c r="HFM46" s="473"/>
      <c r="HFN46" s="473"/>
      <c r="HFO46" s="473"/>
      <c r="HFP46" s="473"/>
      <c r="HFQ46" s="473"/>
      <c r="HFR46" s="473"/>
      <c r="HFS46" s="473"/>
      <c r="HFT46" s="473"/>
      <c r="HFU46" s="473"/>
      <c r="HFV46" s="473"/>
      <c r="HFW46" s="473"/>
      <c r="HFX46" s="473"/>
      <c r="HFY46" s="473"/>
      <c r="HFZ46" s="473"/>
      <c r="HGA46" s="473"/>
      <c r="HGB46" s="473"/>
      <c r="HGC46" s="473"/>
      <c r="HGD46" s="473"/>
      <c r="HGE46" s="473"/>
      <c r="HGF46" s="473"/>
      <c r="HGG46" s="473"/>
      <c r="HGH46" s="473"/>
      <c r="HGI46" s="473"/>
      <c r="HGJ46" s="473"/>
      <c r="HGK46" s="473"/>
      <c r="HGL46" s="473"/>
      <c r="HGM46" s="473"/>
      <c r="HGN46" s="473"/>
      <c r="HGO46" s="473"/>
      <c r="HGP46" s="473"/>
      <c r="HGQ46" s="473"/>
      <c r="HGR46" s="473"/>
      <c r="HGS46" s="473"/>
      <c r="HGT46" s="473"/>
      <c r="HGU46" s="473"/>
      <c r="HGV46" s="473"/>
      <c r="HGW46" s="473"/>
      <c r="HGX46" s="473"/>
      <c r="HGY46" s="473"/>
      <c r="HGZ46" s="473"/>
      <c r="HHA46" s="473"/>
      <c r="HHB46" s="473"/>
      <c r="HHC46" s="473"/>
      <c r="HHD46" s="473"/>
      <c r="HHE46" s="473"/>
      <c r="HHF46" s="473"/>
      <c r="HHG46" s="473"/>
      <c r="HHH46" s="473"/>
      <c r="HHI46" s="473"/>
      <c r="HHJ46" s="473"/>
      <c r="HHK46" s="473"/>
      <c r="HHL46" s="473"/>
      <c r="HHM46" s="473"/>
      <c r="HHN46" s="473"/>
      <c r="HHO46" s="473"/>
      <c r="HHP46" s="473"/>
      <c r="HHQ46" s="473"/>
      <c r="HHR46" s="473"/>
      <c r="HHS46" s="473"/>
      <c r="HHT46" s="473"/>
      <c r="HHU46" s="473"/>
      <c r="HHV46" s="473"/>
      <c r="HHW46" s="473"/>
      <c r="HHX46" s="473"/>
      <c r="HHY46" s="473"/>
      <c r="HHZ46" s="473"/>
      <c r="HIA46" s="473"/>
      <c r="HIB46" s="473"/>
      <c r="HIC46" s="473"/>
      <c r="HID46" s="473"/>
      <c r="HIE46" s="473"/>
      <c r="HIF46" s="473"/>
      <c r="HIG46" s="473"/>
      <c r="HIH46" s="473"/>
      <c r="HII46" s="473"/>
      <c r="HIJ46" s="473"/>
      <c r="HIK46" s="473"/>
      <c r="HIL46" s="473"/>
      <c r="HIM46" s="473"/>
      <c r="HIN46" s="473"/>
      <c r="HIO46" s="473"/>
      <c r="HIP46" s="473"/>
      <c r="HIQ46" s="473"/>
      <c r="HIR46" s="473"/>
      <c r="HIS46" s="473"/>
      <c r="HIT46" s="473"/>
      <c r="HIU46" s="473"/>
      <c r="HIV46" s="473"/>
      <c r="HIW46" s="473"/>
      <c r="HIX46" s="473"/>
      <c r="HIY46" s="473"/>
      <c r="HIZ46" s="473"/>
      <c r="HJA46" s="473"/>
      <c r="HJB46" s="473"/>
      <c r="HJC46" s="473"/>
      <c r="HJD46" s="473"/>
      <c r="HJE46" s="473"/>
      <c r="HJF46" s="473"/>
      <c r="HJG46" s="473"/>
      <c r="HJH46" s="473"/>
      <c r="HJI46" s="473"/>
      <c r="HJJ46" s="473"/>
      <c r="HJK46" s="473"/>
      <c r="HJL46" s="473"/>
      <c r="HJM46" s="473"/>
      <c r="HJN46" s="473"/>
      <c r="HJO46" s="473"/>
      <c r="HJP46" s="473"/>
      <c r="HJQ46" s="473"/>
      <c r="HJR46" s="473"/>
      <c r="HJS46" s="473"/>
      <c r="HJT46" s="473"/>
      <c r="HJU46" s="473"/>
      <c r="HJV46" s="473"/>
      <c r="HJW46" s="473"/>
      <c r="HJX46" s="473"/>
      <c r="HJY46" s="473"/>
      <c r="HJZ46" s="473"/>
      <c r="HKA46" s="473"/>
      <c r="HKB46" s="473"/>
      <c r="HKC46" s="473"/>
      <c r="HKD46" s="473"/>
      <c r="HKE46" s="473"/>
      <c r="HKF46" s="473"/>
      <c r="HKG46" s="473"/>
      <c r="HKH46" s="473"/>
      <c r="HKI46" s="473"/>
      <c r="HKJ46" s="473"/>
      <c r="HKK46" s="473"/>
      <c r="HKL46" s="473"/>
      <c r="HKM46" s="473"/>
      <c r="HKN46" s="473"/>
      <c r="HKO46" s="473"/>
      <c r="HKP46" s="473"/>
      <c r="HKQ46" s="473"/>
      <c r="HKR46" s="473"/>
      <c r="HKS46" s="473"/>
      <c r="HKT46" s="473"/>
      <c r="HKU46" s="473"/>
      <c r="HKV46" s="473"/>
      <c r="HKW46" s="473"/>
      <c r="HKX46" s="473"/>
      <c r="HKY46" s="473"/>
      <c r="HKZ46" s="473"/>
      <c r="HLA46" s="473"/>
      <c r="HLB46" s="473"/>
      <c r="HLC46" s="473"/>
      <c r="HLD46" s="473"/>
      <c r="HLE46" s="473"/>
      <c r="HLF46" s="473"/>
      <c r="HLG46" s="473"/>
      <c r="HLH46" s="473"/>
      <c r="HLI46" s="473"/>
      <c r="HLJ46" s="473"/>
      <c r="HLK46" s="473"/>
      <c r="HLL46" s="473"/>
      <c r="HLM46" s="473"/>
      <c r="HLN46" s="473"/>
      <c r="HLO46" s="473"/>
      <c r="HLP46" s="473"/>
      <c r="HLQ46" s="473"/>
      <c r="HLR46" s="473"/>
      <c r="HLS46" s="473"/>
      <c r="HLT46" s="473"/>
      <c r="HLU46" s="473"/>
      <c r="HLV46" s="473"/>
      <c r="HLW46" s="473"/>
      <c r="HLX46" s="473"/>
      <c r="HLY46" s="473"/>
      <c r="HLZ46" s="473"/>
      <c r="HMA46" s="473"/>
      <c r="HMB46" s="473"/>
      <c r="HMC46" s="473"/>
      <c r="HMD46" s="473"/>
      <c r="HME46" s="473"/>
      <c r="HMF46" s="473"/>
      <c r="HMG46" s="473"/>
      <c r="HMH46" s="473"/>
      <c r="HMI46" s="473"/>
      <c r="HMJ46" s="473"/>
      <c r="HMK46" s="473"/>
      <c r="HML46" s="473"/>
      <c r="HMM46" s="473"/>
      <c r="HMN46" s="473"/>
      <c r="HMO46" s="473"/>
      <c r="HMP46" s="473"/>
      <c r="HMQ46" s="473"/>
      <c r="HMR46" s="473"/>
      <c r="HMS46" s="473"/>
      <c r="HMT46" s="473"/>
      <c r="HMU46" s="473"/>
      <c r="HMV46" s="473"/>
      <c r="HMW46" s="473"/>
      <c r="HMX46" s="473"/>
      <c r="HMY46" s="473"/>
      <c r="HMZ46" s="473"/>
      <c r="HNA46" s="473"/>
      <c r="HNB46" s="473"/>
      <c r="HNC46" s="473"/>
      <c r="HND46" s="473"/>
      <c r="HNE46" s="473"/>
      <c r="HNF46" s="473"/>
      <c r="HNG46" s="473"/>
      <c r="HNH46" s="473"/>
      <c r="HNI46" s="473"/>
      <c r="HNJ46" s="473"/>
      <c r="HNK46" s="473"/>
      <c r="HNL46" s="473"/>
      <c r="HNM46" s="473"/>
      <c r="HNN46" s="473"/>
      <c r="HNO46" s="473"/>
      <c r="HNP46" s="473"/>
      <c r="HNQ46" s="473"/>
      <c r="HNR46" s="473"/>
      <c r="HNS46" s="473"/>
      <c r="HNT46" s="473"/>
      <c r="HNU46" s="473"/>
      <c r="HNV46" s="473"/>
      <c r="HNW46" s="473"/>
      <c r="HNX46" s="473"/>
      <c r="HNY46" s="473"/>
      <c r="HNZ46" s="473"/>
      <c r="HOA46" s="473"/>
      <c r="HOB46" s="473"/>
      <c r="HOC46" s="473"/>
      <c r="HOD46" s="473"/>
      <c r="HOE46" s="473"/>
      <c r="HOF46" s="473"/>
      <c r="HOG46" s="473"/>
      <c r="HOH46" s="473"/>
      <c r="HOI46" s="473"/>
      <c r="HOJ46" s="473"/>
      <c r="HOK46" s="473"/>
      <c r="HOL46" s="473"/>
      <c r="HOM46" s="473"/>
      <c r="HON46" s="473"/>
      <c r="HOO46" s="473"/>
      <c r="HOP46" s="473"/>
      <c r="HOQ46" s="473"/>
      <c r="HOR46" s="473"/>
      <c r="HOS46" s="473"/>
      <c r="HOT46" s="473"/>
      <c r="HOU46" s="473"/>
      <c r="HOV46" s="473"/>
      <c r="HOW46" s="473"/>
      <c r="HOX46" s="473"/>
      <c r="HOY46" s="473"/>
      <c r="HOZ46" s="473"/>
      <c r="HPA46" s="473"/>
      <c r="HPB46" s="473"/>
      <c r="HPC46" s="473"/>
      <c r="HPD46" s="473"/>
      <c r="HPE46" s="473"/>
      <c r="HPF46" s="473"/>
      <c r="HPG46" s="473"/>
      <c r="HPH46" s="473"/>
      <c r="HPI46" s="473"/>
      <c r="HPJ46" s="473"/>
      <c r="HPK46" s="473"/>
      <c r="HPL46" s="473"/>
      <c r="HPM46" s="473"/>
      <c r="HPN46" s="473"/>
      <c r="HPO46" s="473"/>
      <c r="HPP46" s="473"/>
      <c r="HPQ46" s="473"/>
      <c r="HPR46" s="473"/>
      <c r="HPS46" s="473"/>
      <c r="HPT46" s="473"/>
      <c r="HPU46" s="473"/>
      <c r="HPV46" s="473"/>
      <c r="HPW46" s="473"/>
      <c r="HPX46" s="473"/>
      <c r="HPY46" s="473"/>
      <c r="HPZ46" s="473"/>
      <c r="HQA46" s="473"/>
      <c r="HQB46" s="473"/>
      <c r="HQC46" s="473"/>
      <c r="HQD46" s="473"/>
      <c r="HQE46" s="473"/>
      <c r="HQF46" s="473"/>
      <c r="HQG46" s="473"/>
      <c r="HQH46" s="473"/>
      <c r="HQI46" s="473"/>
      <c r="HQJ46" s="473"/>
      <c r="HQK46" s="473"/>
      <c r="HQL46" s="473"/>
      <c r="HQM46" s="473"/>
      <c r="HQN46" s="473"/>
      <c r="HQO46" s="473"/>
      <c r="HQP46" s="473"/>
      <c r="HQQ46" s="473"/>
      <c r="HQR46" s="473"/>
      <c r="HQS46" s="473"/>
      <c r="HQT46" s="473"/>
      <c r="HQU46" s="473"/>
      <c r="HQV46" s="473"/>
      <c r="HQW46" s="473"/>
      <c r="HQX46" s="473"/>
      <c r="HQY46" s="473"/>
      <c r="HQZ46" s="473"/>
      <c r="HRA46" s="473"/>
      <c r="HRB46" s="473"/>
      <c r="HRC46" s="473"/>
      <c r="HRD46" s="473"/>
      <c r="HRE46" s="473"/>
      <c r="HRF46" s="473"/>
      <c r="HRG46" s="473"/>
      <c r="HRH46" s="473"/>
      <c r="HRI46" s="473"/>
      <c r="HRJ46" s="473"/>
      <c r="HRK46" s="473"/>
      <c r="HRL46" s="473"/>
      <c r="HRM46" s="473"/>
      <c r="HRN46" s="473"/>
      <c r="HRO46" s="473"/>
      <c r="HRP46" s="473"/>
      <c r="HRQ46" s="473"/>
      <c r="HRR46" s="473"/>
      <c r="HRS46" s="473"/>
      <c r="HRT46" s="473"/>
      <c r="HRU46" s="473"/>
      <c r="HRV46" s="473"/>
      <c r="HRW46" s="473"/>
      <c r="HRX46" s="473"/>
      <c r="HRY46" s="473"/>
      <c r="HRZ46" s="473"/>
      <c r="HSA46" s="473"/>
      <c r="HSB46" s="473"/>
      <c r="HSC46" s="473"/>
      <c r="HSD46" s="473"/>
      <c r="HSE46" s="473"/>
      <c r="HSF46" s="473"/>
      <c r="HSG46" s="473"/>
      <c r="HSH46" s="473"/>
      <c r="HSI46" s="473"/>
      <c r="HSJ46" s="473"/>
      <c r="HSK46" s="473"/>
      <c r="HSL46" s="473"/>
      <c r="HSM46" s="473"/>
      <c r="HSN46" s="473"/>
      <c r="HSO46" s="473"/>
      <c r="HSP46" s="473"/>
      <c r="HSQ46" s="473"/>
      <c r="HSR46" s="473"/>
      <c r="HSS46" s="473"/>
      <c r="HST46" s="473"/>
      <c r="HSU46" s="473"/>
      <c r="HSV46" s="473"/>
      <c r="HSW46" s="473"/>
      <c r="HSX46" s="473"/>
      <c r="HSY46" s="473"/>
      <c r="HSZ46" s="473"/>
      <c r="HTA46" s="473"/>
      <c r="HTB46" s="473"/>
      <c r="HTC46" s="473"/>
      <c r="HTD46" s="473"/>
      <c r="HTE46" s="473"/>
      <c r="HTF46" s="473"/>
      <c r="HTG46" s="473"/>
      <c r="HTH46" s="473"/>
      <c r="HTI46" s="473"/>
      <c r="HTJ46" s="473"/>
      <c r="HTK46" s="473"/>
      <c r="HTL46" s="473"/>
      <c r="HTM46" s="473"/>
      <c r="HTN46" s="473"/>
      <c r="HTO46" s="473"/>
      <c r="HTP46" s="473"/>
      <c r="HTQ46" s="473"/>
      <c r="HTR46" s="473"/>
      <c r="HTS46" s="473"/>
      <c r="HTT46" s="473"/>
      <c r="HTU46" s="473"/>
      <c r="HTV46" s="473"/>
      <c r="HTW46" s="473"/>
      <c r="HTX46" s="473"/>
      <c r="HTY46" s="473"/>
      <c r="HTZ46" s="473"/>
      <c r="HUA46" s="473"/>
      <c r="HUB46" s="473"/>
      <c r="HUC46" s="473"/>
      <c r="HUD46" s="473"/>
      <c r="HUE46" s="473"/>
      <c r="HUF46" s="473"/>
      <c r="HUG46" s="473"/>
      <c r="HUH46" s="473"/>
      <c r="HUI46" s="473"/>
      <c r="HUJ46" s="473"/>
      <c r="HUK46" s="473"/>
      <c r="HUL46" s="473"/>
      <c r="HUM46" s="473"/>
      <c r="HUN46" s="473"/>
      <c r="HUO46" s="473"/>
      <c r="HUP46" s="473"/>
      <c r="HUQ46" s="473"/>
      <c r="HUR46" s="473"/>
      <c r="HUS46" s="473"/>
      <c r="HUT46" s="473"/>
      <c r="HUU46" s="473"/>
      <c r="HUV46" s="473"/>
      <c r="HUW46" s="473"/>
      <c r="HUX46" s="473"/>
      <c r="HUY46" s="473"/>
      <c r="HUZ46" s="473"/>
      <c r="HVA46" s="473"/>
      <c r="HVB46" s="473"/>
      <c r="HVC46" s="473"/>
      <c r="HVD46" s="473"/>
      <c r="HVE46" s="473"/>
      <c r="HVF46" s="473"/>
      <c r="HVG46" s="473"/>
      <c r="HVH46" s="473"/>
      <c r="HVI46" s="473"/>
      <c r="HVJ46" s="473"/>
      <c r="HVK46" s="473"/>
      <c r="HVL46" s="473"/>
      <c r="HVM46" s="473"/>
      <c r="HVN46" s="473"/>
      <c r="HVO46" s="473"/>
      <c r="HVP46" s="473"/>
      <c r="HVQ46" s="473"/>
      <c r="HVR46" s="473"/>
      <c r="HVS46" s="473"/>
      <c r="HVT46" s="473"/>
      <c r="HVU46" s="473"/>
      <c r="HVV46" s="473"/>
      <c r="HVW46" s="473"/>
      <c r="HVX46" s="473"/>
      <c r="HVY46" s="473"/>
      <c r="HVZ46" s="473"/>
      <c r="HWA46" s="473"/>
      <c r="HWB46" s="473"/>
      <c r="HWC46" s="473"/>
      <c r="HWD46" s="473"/>
      <c r="HWE46" s="473"/>
      <c r="HWF46" s="473"/>
      <c r="HWG46" s="473"/>
      <c r="HWH46" s="473"/>
      <c r="HWI46" s="473"/>
      <c r="HWJ46" s="473"/>
      <c r="HWK46" s="473"/>
      <c r="HWL46" s="473"/>
      <c r="HWM46" s="473"/>
      <c r="HWN46" s="473"/>
      <c r="HWO46" s="473"/>
      <c r="HWP46" s="473"/>
      <c r="HWQ46" s="473"/>
      <c r="HWR46" s="473"/>
      <c r="HWS46" s="473"/>
      <c r="HWT46" s="473"/>
      <c r="HWU46" s="473"/>
      <c r="HWV46" s="473"/>
      <c r="HWW46" s="473"/>
      <c r="HWX46" s="473"/>
      <c r="HWY46" s="473"/>
      <c r="HWZ46" s="473"/>
      <c r="HXA46" s="473"/>
      <c r="HXB46" s="473"/>
      <c r="HXC46" s="473"/>
      <c r="HXD46" s="473"/>
      <c r="HXE46" s="473"/>
      <c r="HXF46" s="473"/>
      <c r="HXG46" s="473"/>
      <c r="HXH46" s="473"/>
      <c r="HXI46" s="473"/>
      <c r="HXJ46" s="473"/>
      <c r="HXK46" s="473"/>
      <c r="HXL46" s="473"/>
      <c r="HXM46" s="473"/>
      <c r="HXN46" s="473"/>
      <c r="HXO46" s="473"/>
      <c r="HXP46" s="473"/>
      <c r="HXQ46" s="473"/>
      <c r="HXR46" s="473"/>
      <c r="HXS46" s="473"/>
      <c r="HXT46" s="473"/>
      <c r="HXU46" s="473"/>
      <c r="HXV46" s="473"/>
      <c r="HXW46" s="473"/>
      <c r="HXX46" s="473"/>
      <c r="HXY46" s="473"/>
      <c r="HXZ46" s="473"/>
      <c r="HYA46" s="473"/>
      <c r="HYB46" s="473"/>
      <c r="HYC46" s="473"/>
      <c r="HYD46" s="473"/>
      <c r="HYE46" s="473"/>
      <c r="HYF46" s="473"/>
      <c r="HYG46" s="473"/>
      <c r="HYH46" s="473"/>
      <c r="HYI46" s="473"/>
      <c r="HYJ46" s="473"/>
      <c r="HYK46" s="473"/>
      <c r="HYL46" s="473"/>
      <c r="HYM46" s="473"/>
      <c r="HYN46" s="473"/>
      <c r="HYO46" s="473"/>
      <c r="HYP46" s="473"/>
      <c r="HYQ46" s="473"/>
      <c r="HYR46" s="473"/>
      <c r="HYS46" s="473"/>
      <c r="HYT46" s="473"/>
      <c r="HYU46" s="473"/>
      <c r="HYV46" s="473"/>
      <c r="HYW46" s="473"/>
      <c r="HYX46" s="473"/>
      <c r="HYY46" s="473"/>
      <c r="HYZ46" s="473"/>
      <c r="HZA46" s="473"/>
      <c r="HZB46" s="473"/>
      <c r="HZC46" s="473"/>
      <c r="HZD46" s="473"/>
      <c r="HZE46" s="473"/>
      <c r="HZF46" s="473"/>
      <c r="HZG46" s="473"/>
      <c r="HZH46" s="473"/>
      <c r="HZI46" s="473"/>
      <c r="HZJ46" s="473"/>
      <c r="HZK46" s="473"/>
      <c r="HZL46" s="473"/>
      <c r="HZM46" s="473"/>
      <c r="HZN46" s="473"/>
      <c r="HZO46" s="473"/>
      <c r="HZP46" s="473"/>
      <c r="HZQ46" s="473"/>
      <c r="HZR46" s="473"/>
      <c r="HZS46" s="473"/>
      <c r="HZT46" s="473"/>
      <c r="HZU46" s="473"/>
      <c r="HZV46" s="473"/>
      <c r="HZW46" s="473"/>
      <c r="HZX46" s="473"/>
      <c r="HZY46" s="473"/>
      <c r="HZZ46" s="473"/>
      <c r="IAA46" s="473"/>
      <c r="IAB46" s="473"/>
      <c r="IAC46" s="473"/>
      <c r="IAD46" s="473"/>
      <c r="IAE46" s="473"/>
      <c r="IAF46" s="473"/>
      <c r="IAG46" s="473"/>
      <c r="IAH46" s="473"/>
      <c r="IAI46" s="473"/>
      <c r="IAJ46" s="473"/>
      <c r="IAK46" s="473"/>
      <c r="IAL46" s="473"/>
      <c r="IAM46" s="473"/>
      <c r="IAN46" s="473"/>
      <c r="IAO46" s="473"/>
      <c r="IAP46" s="473"/>
      <c r="IAQ46" s="473"/>
      <c r="IAR46" s="473"/>
      <c r="IAS46" s="473"/>
      <c r="IAT46" s="473"/>
      <c r="IAU46" s="473"/>
      <c r="IAV46" s="473"/>
      <c r="IAW46" s="473"/>
      <c r="IAX46" s="473"/>
      <c r="IAY46" s="473"/>
      <c r="IAZ46" s="473"/>
      <c r="IBA46" s="473"/>
      <c r="IBB46" s="473"/>
      <c r="IBC46" s="473"/>
      <c r="IBD46" s="473"/>
      <c r="IBE46" s="473"/>
      <c r="IBF46" s="473"/>
      <c r="IBG46" s="473"/>
      <c r="IBH46" s="473"/>
      <c r="IBI46" s="473"/>
      <c r="IBJ46" s="473"/>
      <c r="IBK46" s="473"/>
      <c r="IBL46" s="473"/>
      <c r="IBM46" s="473"/>
      <c r="IBN46" s="473"/>
      <c r="IBO46" s="473"/>
      <c r="IBP46" s="473"/>
      <c r="IBQ46" s="473"/>
      <c r="IBR46" s="473"/>
      <c r="IBS46" s="473"/>
      <c r="IBT46" s="473"/>
      <c r="IBU46" s="473"/>
      <c r="IBV46" s="473"/>
      <c r="IBW46" s="473"/>
      <c r="IBX46" s="473"/>
      <c r="IBY46" s="473"/>
      <c r="IBZ46" s="473"/>
      <c r="ICA46" s="473"/>
      <c r="ICB46" s="473"/>
      <c r="ICC46" s="473"/>
      <c r="ICD46" s="473"/>
      <c r="ICE46" s="473"/>
      <c r="ICF46" s="473"/>
      <c r="ICG46" s="473"/>
      <c r="ICH46" s="473"/>
      <c r="ICI46" s="473"/>
      <c r="ICJ46" s="473"/>
      <c r="ICK46" s="473"/>
      <c r="ICL46" s="473"/>
      <c r="ICM46" s="473"/>
      <c r="ICN46" s="473"/>
      <c r="ICO46" s="473"/>
      <c r="ICP46" s="473"/>
      <c r="ICQ46" s="473"/>
      <c r="ICR46" s="473"/>
      <c r="ICS46" s="473"/>
      <c r="ICT46" s="473"/>
      <c r="ICU46" s="473"/>
      <c r="ICV46" s="473"/>
      <c r="ICW46" s="473"/>
      <c r="ICX46" s="473"/>
      <c r="ICY46" s="473"/>
      <c r="ICZ46" s="473"/>
      <c r="IDA46" s="473"/>
      <c r="IDB46" s="473"/>
      <c r="IDC46" s="473"/>
      <c r="IDD46" s="473"/>
      <c r="IDE46" s="473"/>
      <c r="IDF46" s="473"/>
      <c r="IDG46" s="473"/>
      <c r="IDH46" s="473"/>
      <c r="IDI46" s="473"/>
      <c r="IDJ46" s="473"/>
      <c r="IDK46" s="473"/>
      <c r="IDL46" s="473"/>
      <c r="IDM46" s="473"/>
      <c r="IDN46" s="473"/>
      <c r="IDO46" s="473"/>
      <c r="IDP46" s="473"/>
      <c r="IDQ46" s="473"/>
      <c r="IDR46" s="473"/>
      <c r="IDS46" s="473"/>
      <c r="IDT46" s="473"/>
      <c r="IDU46" s="473"/>
      <c r="IDV46" s="473"/>
      <c r="IDW46" s="473"/>
      <c r="IDX46" s="473"/>
      <c r="IDY46" s="473"/>
      <c r="IDZ46" s="473"/>
      <c r="IEA46" s="473"/>
      <c r="IEB46" s="473"/>
      <c r="IEC46" s="473"/>
      <c r="IED46" s="473"/>
      <c r="IEE46" s="473"/>
      <c r="IEF46" s="473"/>
      <c r="IEG46" s="473"/>
      <c r="IEH46" s="473"/>
      <c r="IEI46" s="473"/>
      <c r="IEJ46" s="473"/>
      <c r="IEK46" s="473"/>
      <c r="IEL46" s="473"/>
      <c r="IEM46" s="473"/>
      <c r="IEN46" s="473"/>
      <c r="IEO46" s="473"/>
      <c r="IEP46" s="473"/>
      <c r="IEQ46" s="473"/>
      <c r="IER46" s="473"/>
      <c r="IES46" s="473"/>
      <c r="IET46" s="473"/>
      <c r="IEU46" s="473"/>
      <c r="IEV46" s="473"/>
      <c r="IEW46" s="473"/>
      <c r="IEX46" s="473"/>
      <c r="IEY46" s="473"/>
      <c r="IEZ46" s="473"/>
      <c r="IFA46" s="473"/>
      <c r="IFB46" s="473"/>
      <c r="IFC46" s="473"/>
      <c r="IFD46" s="473"/>
      <c r="IFE46" s="473"/>
      <c r="IFF46" s="473"/>
      <c r="IFG46" s="473"/>
      <c r="IFH46" s="473"/>
      <c r="IFI46" s="473"/>
      <c r="IFJ46" s="473"/>
      <c r="IFK46" s="473"/>
      <c r="IFL46" s="473"/>
      <c r="IFM46" s="473"/>
      <c r="IFN46" s="473"/>
      <c r="IFO46" s="473"/>
      <c r="IFP46" s="473"/>
      <c r="IFQ46" s="473"/>
      <c r="IFR46" s="473"/>
      <c r="IFS46" s="473"/>
      <c r="IFT46" s="473"/>
      <c r="IFU46" s="473"/>
      <c r="IFV46" s="473"/>
      <c r="IFW46" s="473"/>
      <c r="IFX46" s="473"/>
      <c r="IFY46" s="473"/>
      <c r="IFZ46" s="473"/>
      <c r="IGA46" s="473"/>
      <c r="IGB46" s="473"/>
      <c r="IGC46" s="473"/>
      <c r="IGD46" s="473"/>
      <c r="IGE46" s="473"/>
      <c r="IGF46" s="473"/>
      <c r="IGG46" s="473"/>
      <c r="IGH46" s="473"/>
      <c r="IGI46" s="473"/>
      <c r="IGJ46" s="473"/>
      <c r="IGK46" s="473"/>
      <c r="IGL46" s="473"/>
      <c r="IGM46" s="473"/>
      <c r="IGN46" s="473"/>
      <c r="IGO46" s="473"/>
      <c r="IGP46" s="473"/>
      <c r="IGQ46" s="473"/>
      <c r="IGR46" s="473"/>
      <c r="IGS46" s="473"/>
      <c r="IGT46" s="473"/>
      <c r="IGU46" s="473"/>
      <c r="IGV46" s="473"/>
      <c r="IGW46" s="473"/>
      <c r="IGX46" s="473"/>
      <c r="IGY46" s="473"/>
      <c r="IGZ46" s="473"/>
      <c r="IHA46" s="473"/>
      <c r="IHB46" s="473"/>
      <c r="IHC46" s="473"/>
      <c r="IHD46" s="473"/>
      <c r="IHE46" s="473"/>
      <c r="IHF46" s="473"/>
      <c r="IHG46" s="473"/>
      <c r="IHH46" s="473"/>
      <c r="IHI46" s="473"/>
      <c r="IHJ46" s="473"/>
      <c r="IHK46" s="473"/>
      <c r="IHL46" s="473"/>
      <c r="IHM46" s="473"/>
      <c r="IHN46" s="473"/>
      <c r="IHO46" s="473"/>
      <c r="IHP46" s="473"/>
      <c r="IHQ46" s="473"/>
      <c r="IHR46" s="473"/>
      <c r="IHS46" s="473"/>
      <c r="IHT46" s="473"/>
      <c r="IHU46" s="473"/>
      <c r="IHV46" s="473"/>
      <c r="IHW46" s="473"/>
      <c r="IHX46" s="473"/>
      <c r="IHY46" s="473"/>
      <c r="IHZ46" s="473"/>
      <c r="IIA46" s="473"/>
      <c r="IIB46" s="473"/>
      <c r="IIC46" s="473"/>
      <c r="IID46" s="473"/>
      <c r="IIE46" s="473"/>
      <c r="IIF46" s="473"/>
      <c r="IIG46" s="473"/>
      <c r="IIH46" s="473"/>
      <c r="III46" s="473"/>
      <c r="IIJ46" s="473"/>
      <c r="IIK46" s="473"/>
      <c r="IIL46" s="473"/>
      <c r="IIM46" s="473"/>
      <c r="IIN46" s="473"/>
      <c r="IIO46" s="473"/>
      <c r="IIP46" s="473"/>
      <c r="IIQ46" s="473"/>
      <c r="IIR46" s="473"/>
      <c r="IIS46" s="473"/>
      <c r="IIT46" s="473"/>
      <c r="IIU46" s="473"/>
      <c r="IIV46" s="473"/>
      <c r="IIW46" s="473"/>
      <c r="IIX46" s="473"/>
      <c r="IIY46" s="473"/>
      <c r="IIZ46" s="473"/>
      <c r="IJA46" s="473"/>
      <c r="IJB46" s="473"/>
      <c r="IJC46" s="473"/>
      <c r="IJD46" s="473"/>
      <c r="IJE46" s="473"/>
      <c r="IJF46" s="473"/>
      <c r="IJG46" s="473"/>
      <c r="IJH46" s="473"/>
      <c r="IJI46" s="473"/>
      <c r="IJJ46" s="473"/>
      <c r="IJK46" s="473"/>
      <c r="IJL46" s="473"/>
      <c r="IJM46" s="473"/>
      <c r="IJN46" s="473"/>
      <c r="IJO46" s="473"/>
      <c r="IJP46" s="473"/>
      <c r="IJQ46" s="473"/>
      <c r="IJR46" s="473"/>
      <c r="IJS46" s="473"/>
      <c r="IJT46" s="473"/>
      <c r="IJU46" s="473"/>
      <c r="IJV46" s="473"/>
      <c r="IJW46" s="473"/>
      <c r="IJX46" s="473"/>
      <c r="IJY46" s="473"/>
      <c r="IJZ46" s="473"/>
      <c r="IKA46" s="473"/>
      <c r="IKB46" s="473"/>
      <c r="IKC46" s="473"/>
      <c r="IKD46" s="473"/>
      <c r="IKE46" s="473"/>
      <c r="IKF46" s="473"/>
      <c r="IKG46" s="473"/>
      <c r="IKH46" s="473"/>
      <c r="IKI46" s="473"/>
      <c r="IKJ46" s="473"/>
      <c r="IKK46" s="473"/>
      <c r="IKL46" s="473"/>
      <c r="IKM46" s="473"/>
      <c r="IKN46" s="473"/>
      <c r="IKO46" s="473"/>
      <c r="IKP46" s="473"/>
      <c r="IKQ46" s="473"/>
      <c r="IKR46" s="473"/>
      <c r="IKS46" s="473"/>
      <c r="IKT46" s="473"/>
      <c r="IKU46" s="473"/>
      <c r="IKV46" s="473"/>
      <c r="IKW46" s="473"/>
      <c r="IKX46" s="473"/>
      <c r="IKY46" s="473"/>
      <c r="IKZ46" s="473"/>
      <c r="ILA46" s="473"/>
      <c r="ILB46" s="473"/>
      <c r="ILC46" s="473"/>
      <c r="ILD46" s="473"/>
      <c r="ILE46" s="473"/>
      <c r="ILF46" s="473"/>
      <c r="ILG46" s="473"/>
      <c r="ILH46" s="473"/>
      <c r="ILI46" s="473"/>
      <c r="ILJ46" s="473"/>
      <c r="ILK46" s="473"/>
      <c r="ILL46" s="473"/>
      <c r="ILM46" s="473"/>
      <c r="ILN46" s="473"/>
      <c r="ILO46" s="473"/>
      <c r="ILP46" s="473"/>
      <c r="ILQ46" s="473"/>
      <c r="ILR46" s="473"/>
      <c r="ILS46" s="473"/>
      <c r="ILT46" s="473"/>
      <c r="ILU46" s="473"/>
      <c r="ILV46" s="473"/>
      <c r="ILW46" s="473"/>
      <c r="ILX46" s="473"/>
      <c r="ILY46" s="473"/>
      <c r="ILZ46" s="473"/>
      <c r="IMA46" s="473"/>
      <c r="IMB46" s="473"/>
      <c r="IMC46" s="473"/>
      <c r="IMD46" s="473"/>
      <c r="IME46" s="473"/>
      <c r="IMF46" s="473"/>
      <c r="IMG46" s="473"/>
      <c r="IMH46" s="473"/>
      <c r="IMI46" s="473"/>
      <c r="IMJ46" s="473"/>
      <c r="IMK46" s="473"/>
      <c r="IML46" s="473"/>
      <c r="IMM46" s="473"/>
      <c r="IMN46" s="473"/>
      <c r="IMO46" s="473"/>
      <c r="IMP46" s="473"/>
      <c r="IMQ46" s="473"/>
      <c r="IMR46" s="473"/>
      <c r="IMS46" s="473"/>
      <c r="IMT46" s="473"/>
      <c r="IMU46" s="473"/>
      <c r="IMV46" s="473"/>
      <c r="IMW46" s="473"/>
      <c r="IMX46" s="473"/>
      <c r="IMY46" s="473"/>
      <c r="IMZ46" s="473"/>
      <c r="INA46" s="473"/>
      <c r="INB46" s="473"/>
      <c r="INC46" s="473"/>
      <c r="IND46" s="473"/>
      <c r="INE46" s="473"/>
      <c r="INF46" s="473"/>
      <c r="ING46" s="473"/>
      <c r="INH46" s="473"/>
      <c r="INI46" s="473"/>
      <c r="INJ46" s="473"/>
      <c r="INK46" s="473"/>
      <c r="INL46" s="473"/>
      <c r="INM46" s="473"/>
      <c r="INN46" s="473"/>
      <c r="INO46" s="473"/>
      <c r="INP46" s="473"/>
      <c r="INQ46" s="473"/>
      <c r="INR46" s="473"/>
      <c r="INS46" s="473"/>
      <c r="INT46" s="473"/>
      <c r="INU46" s="473"/>
      <c r="INV46" s="473"/>
      <c r="INW46" s="473"/>
      <c r="INX46" s="473"/>
      <c r="INY46" s="473"/>
      <c r="INZ46" s="473"/>
      <c r="IOA46" s="473"/>
      <c r="IOB46" s="473"/>
      <c r="IOC46" s="473"/>
      <c r="IOD46" s="473"/>
      <c r="IOE46" s="473"/>
      <c r="IOF46" s="473"/>
      <c r="IOG46" s="473"/>
      <c r="IOH46" s="473"/>
      <c r="IOI46" s="473"/>
      <c r="IOJ46" s="473"/>
      <c r="IOK46" s="473"/>
      <c r="IOL46" s="473"/>
      <c r="IOM46" s="473"/>
      <c r="ION46" s="473"/>
      <c r="IOO46" s="473"/>
      <c r="IOP46" s="473"/>
      <c r="IOQ46" s="473"/>
      <c r="IOR46" s="473"/>
      <c r="IOS46" s="473"/>
      <c r="IOT46" s="473"/>
      <c r="IOU46" s="473"/>
      <c r="IOV46" s="473"/>
      <c r="IOW46" s="473"/>
      <c r="IOX46" s="473"/>
      <c r="IOY46" s="473"/>
      <c r="IOZ46" s="473"/>
      <c r="IPA46" s="473"/>
      <c r="IPB46" s="473"/>
      <c r="IPC46" s="473"/>
      <c r="IPD46" s="473"/>
      <c r="IPE46" s="473"/>
      <c r="IPF46" s="473"/>
      <c r="IPG46" s="473"/>
      <c r="IPH46" s="473"/>
      <c r="IPI46" s="473"/>
      <c r="IPJ46" s="473"/>
      <c r="IPK46" s="473"/>
      <c r="IPL46" s="473"/>
      <c r="IPM46" s="473"/>
      <c r="IPN46" s="473"/>
      <c r="IPO46" s="473"/>
      <c r="IPP46" s="473"/>
      <c r="IPQ46" s="473"/>
      <c r="IPR46" s="473"/>
      <c r="IPS46" s="473"/>
      <c r="IPT46" s="473"/>
      <c r="IPU46" s="473"/>
      <c r="IPV46" s="473"/>
      <c r="IPW46" s="473"/>
      <c r="IPX46" s="473"/>
      <c r="IPY46" s="473"/>
      <c r="IPZ46" s="473"/>
      <c r="IQA46" s="473"/>
      <c r="IQB46" s="473"/>
      <c r="IQC46" s="473"/>
      <c r="IQD46" s="473"/>
      <c r="IQE46" s="473"/>
      <c r="IQF46" s="473"/>
      <c r="IQG46" s="473"/>
      <c r="IQH46" s="473"/>
      <c r="IQI46" s="473"/>
      <c r="IQJ46" s="473"/>
      <c r="IQK46" s="473"/>
      <c r="IQL46" s="473"/>
      <c r="IQM46" s="473"/>
      <c r="IQN46" s="473"/>
      <c r="IQO46" s="473"/>
      <c r="IQP46" s="473"/>
      <c r="IQQ46" s="473"/>
      <c r="IQR46" s="473"/>
      <c r="IQS46" s="473"/>
      <c r="IQT46" s="473"/>
      <c r="IQU46" s="473"/>
      <c r="IQV46" s="473"/>
      <c r="IQW46" s="473"/>
      <c r="IQX46" s="473"/>
      <c r="IQY46" s="473"/>
      <c r="IQZ46" s="473"/>
      <c r="IRA46" s="473"/>
      <c r="IRB46" s="473"/>
      <c r="IRC46" s="473"/>
      <c r="IRD46" s="473"/>
      <c r="IRE46" s="473"/>
      <c r="IRF46" s="473"/>
      <c r="IRG46" s="473"/>
      <c r="IRH46" s="473"/>
      <c r="IRI46" s="473"/>
      <c r="IRJ46" s="473"/>
      <c r="IRK46" s="473"/>
      <c r="IRL46" s="473"/>
      <c r="IRM46" s="473"/>
      <c r="IRN46" s="473"/>
      <c r="IRO46" s="473"/>
      <c r="IRP46" s="473"/>
      <c r="IRQ46" s="473"/>
      <c r="IRR46" s="473"/>
      <c r="IRS46" s="473"/>
      <c r="IRT46" s="473"/>
      <c r="IRU46" s="473"/>
      <c r="IRV46" s="473"/>
      <c r="IRW46" s="473"/>
      <c r="IRX46" s="473"/>
      <c r="IRY46" s="473"/>
      <c r="IRZ46" s="473"/>
      <c r="ISA46" s="473"/>
      <c r="ISB46" s="473"/>
      <c r="ISC46" s="473"/>
      <c r="ISD46" s="473"/>
      <c r="ISE46" s="473"/>
      <c r="ISF46" s="473"/>
      <c r="ISG46" s="473"/>
      <c r="ISH46" s="473"/>
      <c r="ISI46" s="473"/>
      <c r="ISJ46" s="473"/>
      <c r="ISK46" s="473"/>
      <c r="ISL46" s="473"/>
      <c r="ISM46" s="473"/>
      <c r="ISN46" s="473"/>
      <c r="ISO46" s="473"/>
      <c r="ISP46" s="473"/>
      <c r="ISQ46" s="473"/>
      <c r="ISR46" s="473"/>
      <c r="ISS46" s="473"/>
      <c r="IST46" s="473"/>
      <c r="ISU46" s="473"/>
      <c r="ISV46" s="473"/>
      <c r="ISW46" s="473"/>
      <c r="ISX46" s="473"/>
      <c r="ISY46" s="473"/>
      <c r="ISZ46" s="473"/>
      <c r="ITA46" s="473"/>
      <c r="ITB46" s="473"/>
      <c r="ITC46" s="473"/>
      <c r="ITD46" s="473"/>
      <c r="ITE46" s="473"/>
      <c r="ITF46" s="473"/>
      <c r="ITG46" s="473"/>
      <c r="ITH46" s="473"/>
      <c r="ITI46" s="473"/>
      <c r="ITJ46" s="473"/>
      <c r="ITK46" s="473"/>
      <c r="ITL46" s="473"/>
      <c r="ITM46" s="473"/>
      <c r="ITN46" s="473"/>
      <c r="ITO46" s="473"/>
      <c r="ITP46" s="473"/>
      <c r="ITQ46" s="473"/>
      <c r="ITR46" s="473"/>
      <c r="ITS46" s="473"/>
      <c r="ITT46" s="473"/>
      <c r="ITU46" s="473"/>
      <c r="ITV46" s="473"/>
      <c r="ITW46" s="473"/>
      <c r="ITX46" s="473"/>
      <c r="ITY46" s="473"/>
      <c r="ITZ46" s="473"/>
      <c r="IUA46" s="473"/>
      <c r="IUB46" s="473"/>
      <c r="IUC46" s="473"/>
      <c r="IUD46" s="473"/>
      <c r="IUE46" s="473"/>
      <c r="IUF46" s="473"/>
      <c r="IUG46" s="473"/>
      <c r="IUH46" s="473"/>
      <c r="IUI46" s="473"/>
      <c r="IUJ46" s="473"/>
      <c r="IUK46" s="473"/>
      <c r="IUL46" s="473"/>
      <c r="IUM46" s="473"/>
      <c r="IUN46" s="473"/>
      <c r="IUO46" s="473"/>
      <c r="IUP46" s="473"/>
      <c r="IUQ46" s="473"/>
      <c r="IUR46" s="473"/>
      <c r="IUS46" s="473"/>
      <c r="IUT46" s="473"/>
      <c r="IUU46" s="473"/>
      <c r="IUV46" s="473"/>
      <c r="IUW46" s="473"/>
      <c r="IUX46" s="473"/>
      <c r="IUY46" s="473"/>
      <c r="IUZ46" s="473"/>
      <c r="IVA46" s="473"/>
      <c r="IVB46" s="473"/>
      <c r="IVC46" s="473"/>
      <c r="IVD46" s="473"/>
      <c r="IVE46" s="473"/>
      <c r="IVF46" s="473"/>
      <c r="IVG46" s="473"/>
      <c r="IVH46" s="473"/>
      <c r="IVI46" s="473"/>
      <c r="IVJ46" s="473"/>
      <c r="IVK46" s="473"/>
      <c r="IVL46" s="473"/>
      <c r="IVM46" s="473"/>
      <c r="IVN46" s="473"/>
      <c r="IVO46" s="473"/>
      <c r="IVP46" s="473"/>
      <c r="IVQ46" s="473"/>
      <c r="IVR46" s="473"/>
      <c r="IVS46" s="473"/>
      <c r="IVT46" s="473"/>
      <c r="IVU46" s="473"/>
      <c r="IVV46" s="473"/>
      <c r="IVW46" s="473"/>
      <c r="IVX46" s="473"/>
      <c r="IVY46" s="473"/>
      <c r="IVZ46" s="473"/>
      <c r="IWA46" s="473"/>
      <c r="IWB46" s="473"/>
      <c r="IWC46" s="473"/>
      <c r="IWD46" s="473"/>
      <c r="IWE46" s="473"/>
      <c r="IWF46" s="473"/>
      <c r="IWG46" s="473"/>
      <c r="IWH46" s="473"/>
      <c r="IWI46" s="473"/>
      <c r="IWJ46" s="473"/>
      <c r="IWK46" s="473"/>
      <c r="IWL46" s="473"/>
      <c r="IWM46" s="473"/>
      <c r="IWN46" s="473"/>
      <c r="IWO46" s="473"/>
      <c r="IWP46" s="473"/>
      <c r="IWQ46" s="473"/>
      <c r="IWR46" s="473"/>
      <c r="IWS46" s="473"/>
      <c r="IWT46" s="473"/>
      <c r="IWU46" s="473"/>
      <c r="IWV46" s="473"/>
      <c r="IWW46" s="473"/>
      <c r="IWX46" s="473"/>
      <c r="IWY46" s="473"/>
      <c r="IWZ46" s="473"/>
      <c r="IXA46" s="473"/>
      <c r="IXB46" s="473"/>
      <c r="IXC46" s="473"/>
      <c r="IXD46" s="473"/>
      <c r="IXE46" s="473"/>
      <c r="IXF46" s="473"/>
      <c r="IXG46" s="473"/>
      <c r="IXH46" s="473"/>
      <c r="IXI46" s="473"/>
      <c r="IXJ46" s="473"/>
      <c r="IXK46" s="473"/>
      <c r="IXL46" s="473"/>
      <c r="IXM46" s="473"/>
      <c r="IXN46" s="473"/>
      <c r="IXO46" s="473"/>
      <c r="IXP46" s="473"/>
      <c r="IXQ46" s="473"/>
      <c r="IXR46" s="473"/>
      <c r="IXS46" s="473"/>
      <c r="IXT46" s="473"/>
      <c r="IXU46" s="473"/>
      <c r="IXV46" s="473"/>
      <c r="IXW46" s="473"/>
      <c r="IXX46" s="473"/>
      <c r="IXY46" s="473"/>
      <c r="IXZ46" s="473"/>
      <c r="IYA46" s="473"/>
      <c r="IYB46" s="473"/>
      <c r="IYC46" s="473"/>
      <c r="IYD46" s="473"/>
      <c r="IYE46" s="473"/>
      <c r="IYF46" s="473"/>
      <c r="IYG46" s="473"/>
      <c r="IYH46" s="473"/>
      <c r="IYI46" s="473"/>
      <c r="IYJ46" s="473"/>
      <c r="IYK46" s="473"/>
      <c r="IYL46" s="473"/>
      <c r="IYM46" s="473"/>
      <c r="IYN46" s="473"/>
      <c r="IYO46" s="473"/>
      <c r="IYP46" s="473"/>
      <c r="IYQ46" s="473"/>
      <c r="IYR46" s="473"/>
      <c r="IYS46" s="473"/>
      <c r="IYT46" s="473"/>
      <c r="IYU46" s="473"/>
      <c r="IYV46" s="473"/>
      <c r="IYW46" s="473"/>
      <c r="IYX46" s="473"/>
      <c r="IYY46" s="473"/>
      <c r="IYZ46" s="473"/>
      <c r="IZA46" s="473"/>
      <c r="IZB46" s="473"/>
      <c r="IZC46" s="473"/>
      <c r="IZD46" s="473"/>
      <c r="IZE46" s="473"/>
      <c r="IZF46" s="473"/>
      <c r="IZG46" s="473"/>
      <c r="IZH46" s="473"/>
      <c r="IZI46" s="473"/>
      <c r="IZJ46" s="473"/>
      <c r="IZK46" s="473"/>
      <c r="IZL46" s="473"/>
      <c r="IZM46" s="473"/>
      <c r="IZN46" s="473"/>
      <c r="IZO46" s="473"/>
      <c r="IZP46" s="473"/>
      <c r="IZQ46" s="473"/>
      <c r="IZR46" s="473"/>
      <c r="IZS46" s="473"/>
      <c r="IZT46" s="473"/>
      <c r="IZU46" s="473"/>
      <c r="IZV46" s="473"/>
      <c r="IZW46" s="473"/>
      <c r="IZX46" s="473"/>
      <c r="IZY46" s="473"/>
      <c r="IZZ46" s="473"/>
      <c r="JAA46" s="473"/>
      <c r="JAB46" s="473"/>
      <c r="JAC46" s="473"/>
      <c r="JAD46" s="473"/>
      <c r="JAE46" s="473"/>
      <c r="JAF46" s="473"/>
      <c r="JAG46" s="473"/>
      <c r="JAH46" s="473"/>
      <c r="JAI46" s="473"/>
      <c r="JAJ46" s="473"/>
      <c r="JAK46" s="473"/>
      <c r="JAL46" s="473"/>
      <c r="JAM46" s="473"/>
      <c r="JAN46" s="473"/>
      <c r="JAO46" s="473"/>
      <c r="JAP46" s="473"/>
      <c r="JAQ46" s="473"/>
      <c r="JAR46" s="473"/>
      <c r="JAS46" s="473"/>
      <c r="JAT46" s="473"/>
      <c r="JAU46" s="473"/>
      <c r="JAV46" s="473"/>
      <c r="JAW46" s="473"/>
      <c r="JAX46" s="473"/>
      <c r="JAY46" s="473"/>
      <c r="JAZ46" s="473"/>
      <c r="JBA46" s="473"/>
      <c r="JBB46" s="473"/>
      <c r="JBC46" s="473"/>
      <c r="JBD46" s="473"/>
      <c r="JBE46" s="473"/>
      <c r="JBF46" s="473"/>
      <c r="JBG46" s="473"/>
      <c r="JBH46" s="473"/>
      <c r="JBI46" s="473"/>
      <c r="JBJ46" s="473"/>
      <c r="JBK46" s="473"/>
      <c r="JBL46" s="473"/>
      <c r="JBM46" s="473"/>
      <c r="JBN46" s="473"/>
      <c r="JBO46" s="473"/>
      <c r="JBP46" s="473"/>
      <c r="JBQ46" s="473"/>
      <c r="JBR46" s="473"/>
      <c r="JBS46" s="473"/>
      <c r="JBT46" s="473"/>
      <c r="JBU46" s="473"/>
      <c r="JBV46" s="473"/>
      <c r="JBW46" s="473"/>
      <c r="JBX46" s="473"/>
      <c r="JBY46" s="473"/>
      <c r="JBZ46" s="473"/>
      <c r="JCA46" s="473"/>
      <c r="JCB46" s="473"/>
      <c r="JCC46" s="473"/>
      <c r="JCD46" s="473"/>
      <c r="JCE46" s="473"/>
      <c r="JCF46" s="473"/>
      <c r="JCG46" s="473"/>
      <c r="JCH46" s="473"/>
      <c r="JCI46" s="473"/>
      <c r="JCJ46" s="473"/>
      <c r="JCK46" s="473"/>
      <c r="JCL46" s="473"/>
      <c r="JCM46" s="473"/>
      <c r="JCN46" s="473"/>
      <c r="JCO46" s="473"/>
      <c r="JCP46" s="473"/>
      <c r="JCQ46" s="473"/>
      <c r="JCR46" s="473"/>
      <c r="JCS46" s="473"/>
      <c r="JCT46" s="473"/>
      <c r="JCU46" s="473"/>
      <c r="JCV46" s="473"/>
      <c r="JCW46" s="473"/>
      <c r="JCX46" s="473"/>
      <c r="JCY46" s="473"/>
      <c r="JCZ46" s="473"/>
      <c r="JDA46" s="473"/>
      <c r="JDB46" s="473"/>
      <c r="JDC46" s="473"/>
      <c r="JDD46" s="473"/>
      <c r="JDE46" s="473"/>
      <c r="JDF46" s="473"/>
      <c r="JDG46" s="473"/>
      <c r="JDH46" s="473"/>
      <c r="JDI46" s="473"/>
      <c r="JDJ46" s="473"/>
      <c r="JDK46" s="473"/>
      <c r="JDL46" s="473"/>
      <c r="JDM46" s="473"/>
      <c r="JDN46" s="473"/>
      <c r="JDO46" s="473"/>
      <c r="JDP46" s="473"/>
      <c r="JDQ46" s="473"/>
      <c r="JDR46" s="473"/>
      <c r="JDS46" s="473"/>
      <c r="JDT46" s="473"/>
      <c r="JDU46" s="473"/>
      <c r="JDV46" s="473"/>
      <c r="JDW46" s="473"/>
      <c r="JDX46" s="473"/>
      <c r="JDY46" s="473"/>
      <c r="JDZ46" s="473"/>
      <c r="JEA46" s="473"/>
      <c r="JEB46" s="473"/>
      <c r="JEC46" s="473"/>
      <c r="JED46" s="473"/>
      <c r="JEE46" s="473"/>
      <c r="JEF46" s="473"/>
      <c r="JEG46" s="473"/>
      <c r="JEH46" s="473"/>
      <c r="JEI46" s="473"/>
      <c r="JEJ46" s="473"/>
      <c r="JEK46" s="473"/>
      <c r="JEL46" s="473"/>
      <c r="JEM46" s="473"/>
      <c r="JEN46" s="473"/>
      <c r="JEO46" s="473"/>
      <c r="JEP46" s="473"/>
      <c r="JEQ46" s="473"/>
      <c r="JER46" s="473"/>
      <c r="JES46" s="473"/>
      <c r="JET46" s="473"/>
      <c r="JEU46" s="473"/>
      <c r="JEV46" s="473"/>
      <c r="JEW46" s="473"/>
      <c r="JEX46" s="473"/>
      <c r="JEY46" s="473"/>
      <c r="JEZ46" s="473"/>
      <c r="JFA46" s="473"/>
      <c r="JFB46" s="473"/>
      <c r="JFC46" s="473"/>
      <c r="JFD46" s="473"/>
      <c r="JFE46" s="473"/>
      <c r="JFF46" s="473"/>
      <c r="JFG46" s="473"/>
      <c r="JFH46" s="473"/>
      <c r="JFI46" s="473"/>
      <c r="JFJ46" s="473"/>
      <c r="JFK46" s="473"/>
      <c r="JFL46" s="473"/>
      <c r="JFM46" s="473"/>
      <c r="JFN46" s="473"/>
      <c r="JFO46" s="473"/>
      <c r="JFP46" s="473"/>
      <c r="JFQ46" s="473"/>
      <c r="JFR46" s="473"/>
      <c r="JFS46" s="473"/>
      <c r="JFT46" s="473"/>
      <c r="JFU46" s="473"/>
      <c r="JFV46" s="473"/>
      <c r="JFW46" s="473"/>
      <c r="JFX46" s="473"/>
      <c r="JFY46" s="473"/>
      <c r="JFZ46" s="473"/>
      <c r="JGA46" s="473"/>
      <c r="JGB46" s="473"/>
      <c r="JGC46" s="473"/>
      <c r="JGD46" s="473"/>
      <c r="JGE46" s="473"/>
      <c r="JGF46" s="473"/>
      <c r="JGG46" s="473"/>
      <c r="JGH46" s="473"/>
      <c r="JGI46" s="473"/>
      <c r="JGJ46" s="473"/>
      <c r="JGK46" s="473"/>
      <c r="JGL46" s="473"/>
      <c r="JGM46" s="473"/>
      <c r="JGN46" s="473"/>
      <c r="JGO46" s="473"/>
      <c r="JGP46" s="473"/>
      <c r="JGQ46" s="473"/>
      <c r="JGR46" s="473"/>
      <c r="JGS46" s="473"/>
      <c r="JGT46" s="473"/>
      <c r="JGU46" s="473"/>
      <c r="JGV46" s="473"/>
      <c r="JGW46" s="473"/>
      <c r="JGX46" s="473"/>
      <c r="JGY46" s="473"/>
      <c r="JGZ46" s="473"/>
      <c r="JHA46" s="473"/>
      <c r="JHB46" s="473"/>
      <c r="JHC46" s="473"/>
      <c r="JHD46" s="473"/>
      <c r="JHE46" s="473"/>
      <c r="JHF46" s="473"/>
      <c r="JHG46" s="473"/>
      <c r="JHH46" s="473"/>
      <c r="JHI46" s="473"/>
      <c r="JHJ46" s="473"/>
      <c r="JHK46" s="473"/>
      <c r="JHL46" s="473"/>
      <c r="JHM46" s="473"/>
      <c r="JHN46" s="473"/>
      <c r="JHO46" s="473"/>
      <c r="JHP46" s="473"/>
      <c r="JHQ46" s="473"/>
      <c r="JHR46" s="473"/>
      <c r="JHS46" s="473"/>
      <c r="JHT46" s="473"/>
      <c r="JHU46" s="473"/>
      <c r="JHV46" s="473"/>
      <c r="JHW46" s="473"/>
      <c r="JHX46" s="473"/>
      <c r="JHY46" s="473"/>
      <c r="JHZ46" s="473"/>
      <c r="JIA46" s="473"/>
      <c r="JIB46" s="473"/>
      <c r="JIC46" s="473"/>
      <c r="JID46" s="473"/>
      <c r="JIE46" s="473"/>
      <c r="JIF46" s="473"/>
      <c r="JIG46" s="473"/>
      <c r="JIH46" s="473"/>
      <c r="JII46" s="473"/>
      <c r="JIJ46" s="473"/>
      <c r="JIK46" s="473"/>
      <c r="JIL46" s="473"/>
      <c r="JIM46" s="473"/>
      <c r="JIN46" s="473"/>
      <c r="JIO46" s="473"/>
      <c r="JIP46" s="473"/>
      <c r="JIQ46" s="473"/>
      <c r="JIR46" s="473"/>
      <c r="JIS46" s="473"/>
      <c r="JIT46" s="473"/>
      <c r="JIU46" s="473"/>
      <c r="JIV46" s="473"/>
      <c r="JIW46" s="473"/>
      <c r="JIX46" s="473"/>
      <c r="JIY46" s="473"/>
      <c r="JIZ46" s="473"/>
      <c r="JJA46" s="473"/>
      <c r="JJB46" s="473"/>
      <c r="JJC46" s="473"/>
      <c r="JJD46" s="473"/>
      <c r="JJE46" s="473"/>
      <c r="JJF46" s="473"/>
      <c r="JJG46" s="473"/>
      <c r="JJH46" s="473"/>
      <c r="JJI46" s="473"/>
      <c r="JJJ46" s="473"/>
      <c r="JJK46" s="473"/>
      <c r="JJL46" s="473"/>
      <c r="JJM46" s="473"/>
      <c r="JJN46" s="473"/>
      <c r="JJO46" s="473"/>
      <c r="JJP46" s="473"/>
      <c r="JJQ46" s="473"/>
      <c r="JJR46" s="473"/>
      <c r="JJS46" s="473"/>
      <c r="JJT46" s="473"/>
      <c r="JJU46" s="473"/>
      <c r="JJV46" s="473"/>
      <c r="JJW46" s="473"/>
      <c r="JJX46" s="473"/>
      <c r="JJY46" s="473"/>
      <c r="JJZ46" s="473"/>
      <c r="JKA46" s="473"/>
      <c r="JKB46" s="473"/>
      <c r="JKC46" s="473"/>
      <c r="JKD46" s="473"/>
      <c r="JKE46" s="473"/>
      <c r="JKF46" s="473"/>
      <c r="JKG46" s="473"/>
      <c r="JKH46" s="473"/>
      <c r="JKI46" s="473"/>
      <c r="JKJ46" s="473"/>
      <c r="JKK46" s="473"/>
      <c r="JKL46" s="473"/>
      <c r="JKM46" s="473"/>
      <c r="JKN46" s="473"/>
      <c r="JKO46" s="473"/>
      <c r="JKP46" s="473"/>
      <c r="JKQ46" s="473"/>
      <c r="JKR46" s="473"/>
      <c r="JKS46" s="473"/>
      <c r="JKT46" s="473"/>
      <c r="JKU46" s="473"/>
      <c r="JKV46" s="473"/>
      <c r="JKW46" s="473"/>
      <c r="JKX46" s="473"/>
      <c r="JKY46" s="473"/>
      <c r="JKZ46" s="473"/>
      <c r="JLA46" s="473"/>
      <c r="JLB46" s="473"/>
      <c r="JLC46" s="473"/>
      <c r="JLD46" s="473"/>
      <c r="JLE46" s="473"/>
      <c r="JLF46" s="473"/>
      <c r="JLG46" s="473"/>
      <c r="JLH46" s="473"/>
      <c r="JLI46" s="473"/>
      <c r="JLJ46" s="473"/>
      <c r="JLK46" s="473"/>
      <c r="JLL46" s="473"/>
      <c r="JLM46" s="473"/>
      <c r="JLN46" s="473"/>
      <c r="JLO46" s="473"/>
      <c r="JLP46" s="473"/>
      <c r="JLQ46" s="473"/>
      <c r="JLR46" s="473"/>
      <c r="JLS46" s="473"/>
      <c r="JLT46" s="473"/>
      <c r="JLU46" s="473"/>
      <c r="JLV46" s="473"/>
      <c r="JLW46" s="473"/>
      <c r="JLX46" s="473"/>
      <c r="JLY46" s="473"/>
      <c r="JLZ46" s="473"/>
      <c r="JMA46" s="473"/>
      <c r="JMB46" s="473"/>
      <c r="JMC46" s="473"/>
      <c r="JMD46" s="473"/>
      <c r="JME46" s="473"/>
      <c r="JMF46" s="473"/>
      <c r="JMG46" s="473"/>
      <c r="JMH46" s="473"/>
      <c r="JMI46" s="473"/>
      <c r="JMJ46" s="473"/>
      <c r="JMK46" s="473"/>
      <c r="JML46" s="473"/>
      <c r="JMM46" s="473"/>
      <c r="JMN46" s="473"/>
      <c r="JMO46" s="473"/>
      <c r="JMP46" s="473"/>
      <c r="JMQ46" s="473"/>
      <c r="JMR46" s="473"/>
      <c r="JMS46" s="473"/>
      <c r="JMT46" s="473"/>
      <c r="JMU46" s="473"/>
      <c r="JMV46" s="473"/>
      <c r="JMW46" s="473"/>
      <c r="JMX46" s="473"/>
      <c r="JMY46" s="473"/>
      <c r="JMZ46" s="473"/>
      <c r="JNA46" s="473"/>
      <c r="JNB46" s="473"/>
      <c r="JNC46" s="473"/>
      <c r="JND46" s="473"/>
      <c r="JNE46" s="473"/>
      <c r="JNF46" s="473"/>
      <c r="JNG46" s="473"/>
      <c r="JNH46" s="473"/>
      <c r="JNI46" s="473"/>
      <c r="JNJ46" s="473"/>
      <c r="JNK46" s="473"/>
      <c r="JNL46" s="473"/>
      <c r="JNM46" s="473"/>
      <c r="JNN46" s="473"/>
      <c r="JNO46" s="473"/>
      <c r="JNP46" s="473"/>
      <c r="JNQ46" s="473"/>
      <c r="JNR46" s="473"/>
      <c r="JNS46" s="473"/>
      <c r="JNT46" s="473"/>
      <c r="JNU46" s="473"/>
      <c r="JNV46" s="473"/>
      <c r="JNW46" s="473"/>
      <c r="JNX46" s="473"/>
      <c r="JNY46" s="473"/>
      <c r="JNZ46" s="473"/>
      <c r="JOA46" s="473"/>
      <c r="JOB46" s="473"/>
      <c r="JOC46" s="473"/>
      <c r="JOD46" s="473"/>
      <c r="JOE46" s="473"/>
      <c r="JOF46" s="473"/>
      <c r="JOG46" s="473"/>
      <c r="JOH46" s="473"/>
      <c r="JOI46" s="473"/>
      <c r="JOJ46" s="473"/>
      <c r="JOK46" s="473"/>
      <c r="JOL46" s="473"/>
      <c r="JOM46" s="473"/>
      <c r="JON46" s="473"/>
      <c r="JOO46" s="473"/>
      <c r="JOP46" s="473"/>
      <c r="JOQ46" s="473"/>
      <c r="JOR46" s="473"/>
      <c r="JOS46" s="473"/>
      <c r="JOT46" s="473"/>
      <c r="JOU46" s="473"/>
      <c r="JOV46" s="473"/>
      <c r="JOW46" s="473"/>
      <c r="JOX46" s="473"/>
      <c r="JOY46" s="473"/>
      <c r="JOZ46" s="473"/>
      <c r="JPA46" s="473"/>
      <c r="JPB46" s="473"/>
      <c r="JPC46" s="473"/>
      <c r="JPD46" s="473"/>
      <c r="JPE46" s="473"/>
      <c r="JPF46" s="473"/>
      <c r="JPG46" s="473"/>
      <c r="JPH46" s="473"/>
      <c r="JPI46" s="473"/>
      <c r="JPJ46" s="473"/>
      <c r="JPK46" s="473"/>
      <c r="JPL46" s="473"/>
      <c r="JPM46" s="473"/>
      <c r="JPN46" s="473"/>
      <c r="JPO46" s="473"/>
      <c r="JPP46" s="473"/>
      <c r="JPQ46" s="473"/>
      <c r="JPR46" s="473"/>
      <c r="JPS46" s="473"/>
      <c r="JPT46" s="473"/>
      <c r="JPU46" s="473"/>
      <c r="JPV46" s="473"/>
      <c r="JPW46" s="473"/>
      <c r="JPX46" s="473"/>
      <c r="JPY46" s="473"/>
      <c r="JPZ46" s="473"/>
      <c r="JQA46" s="473"/>
      <c r="JQB46" s="473"/>
      <c r="JQC46" s="473"/>
      <c r="JQD46" s="473"/>
      <c r="JQE46" s="473"/>
      <c r="JQF46" s="473"/>
      <c r="JQG46" s="473"/>
      <c r="JQH46" s="473"/>
      <c r="JQI46" s="473"/>
      <c r="JQJ46" s="473"/>
      <c r="JQK46" s="473"/>
      <c r="JQL46" s="473"/>
      <c r="JQM46" s="473"/>
      <c r="JQN46" s="473"/>
      <c r="JQO46" s="473"/>
      <c r="JQP46" s="473"/>
      <c r="JQQ46" s="473"/>
      <c r="JQR46" s="473"/>
      <c r="JQS46" s="473"/>
      <c r="JQT46" s="473"/>
      <c r="JQU46" s="473"/>
      <c r="JQV46" s="473"/>
      <c r="JQW46" s="473"/>
      <c r="JQX46" s="473"/>
      <c r="JQY46" s="473"/>
      <c r="JQZ46" s="473"/>
      <c r="JRA46" s="473"/>
      <c r="JRB46" s="473"/>
      <c r="JRC46" s="473"/>
      <c r="JRD46" s="473"/>
      <c r="JRE46" s="473"/>
      <c r="JRF46" s="473"/>
      <c r="JRG46" s="473"/>
      <c r="JRH46" s="473"/>
      <c r="JRI46" s="473"/>
      <c r="JRJ46" s="473"/>
      <c r="JRK46" s="473"/>
      <c r="JRL46" s="473"/>
      <c r="JRM46" s="473"/>
      <c r="JRN46" s="473"/>
      <c r="JRO46" s="473"/>
      <c r="JRP46" s="473"/>
      <c r="JRQ46" s="473"/>
      <c r="JRR46" s="473"/>
      <c r="JRS46" s="473"/>
      <c r="JRT46" s="473"/>
      <c r="JRU46" s="473"/>
      <c r="JRV46" s="473"/>
      <c r="JRW46" s="473"/>
      <c r="JRX46" s="473"/>
      <c r="JRY46" s="473"/>
      <c r="JRZ46" s="473"/>
      <c r="JSA46" s="473"/>
      <c r="JSB46" s="473"/>
      <c r="JSC46" s="473"/>
      <c r="JSD46" s="473"/>
      <c r="JSE46" s="473"/>
      <c r="JSF46" s="473"/>
      <c r="JSG46" s="473"/>
      <c r="JSH46" s="473"/>
      <c r="JSI46" s="473"/>
      <c r="JSJ46" s="473"/>
      <c r="JSK46" s="473"/>
      <c r="JSL46" s="473"/>
      <c r="JSM46" s="473"/>
      <c r="JSN46" s="473"/>
      <c r="JSO46" s="473"/>
      <c r="JSP46" s="473"/>
      <c r="JSQ46" s="473"/>
      <c r="JSR46" s="473"/>
      <c r="JSS46" s="473"/>
      <c r="JST46" s="473"/>
      <c r="JSU46" s="473"/>
      <c r="JSV46" s="473"/>
      <c r="JSW46" s="473"/>
      <c r="JSX46" s="473"/>
      <c r="JSY46" s="473"/>
      <c r="JSZ46" s="473"/>
      <c r="JTA46" s="473"/>
      <c r="JTB46" s="473"/>
      <c r="JTC46" s="473"/>
      <c r="JTD46" s="473"/>
      <c r="JTE46" s="473"/>
      <c r="JTF46" s="473"/>
      <c r="JTG46" s="473"/>
      <c r="JTH46" s="473"/>
      <c r="JTI46" s="473"/>
      <c r="JTJ46" s="473"/>
      <c r="JTK46" s="473"/>
      <c r="JTL46" s="473"/>
      <c r="JTM46" s="473"/>
      <c r="JTN46" s="473"/>
      <c r="JTO46" s="473"/>
      <c r="JTP46" s="473"/>
      <c r="JTQ46" s="473"/>
      <c r="JTR46" s="473"/>
      <c r="JTS46" s="473"/>
      <c r="JTT46" s="473"/>
      <c r="JTU46" s="473"/>
      <c r="JTV46" s="473"/>
      <c r="JTW46" s="473"/>
      <c r="JTX46" s="473"/>
      <c r="JTY46" s="473"/>
      <c r="JTZ46" s="473"/>
      <c r="JUA46" s="473"/>
      <c r="JUB46" s="473"/>
      <c r="JUC46" s="473"/>
      <c r="JUD46" s="473"/>
      <c r="JUE46" s="473"/>
      <c r="JUF46" s="473"/>
      <c r="JUG46" s="473"/>
      <c r="JUH46" s="473"/>
      <c r="JUI46" s="473"/>
      <c r="JUJ46" s="473"/>
      <c r="JUK46" s="473"/>
      <c r="JUL46" s="473"/>
      <c r="JUM46" s="473"/>
      <c r="JUN46" s="473"/>
      <c r="JUO46" s="473"/>
      <c r="JUP46" s="473"/>
      <c r="JUQ46" s="473"/>
      <c r="JUR46" s="473"/>
      <c r="JUS46" s="473"/>
      <c r="JUT46" s="473"/>
      <c r="JUU46" s="473"/>
      <c r="JUV46" s="473"/>
      <c r="JUW46" s="473"/>
      <c r="JUX46" s="473"/>
      <c r="JUY46" s="473"/>
      <c r="JUZ46" s="473"/>
      <c r="JVA46" s="473"/>
      <c r="JVB46" s="473"/>
      <c r="JVC46" s="473"/>
      <c r="JVD46" s="473"/>
      <c r="JVE46" s="473"/>
      <c r="JVF46" s="473"/>
      <c r="JVG46" s="473"/>
      <c r="JVH46" s="473"/>
      <c r="JVI46" s="473"/>
      <c r="JVJ46" s="473"/>
      <c r="JVK46" s="473"/>
      <c r="JVL46" s="473"/>
      <c r="JVM46" s="473"/>
      <c r="JVN46" s="473"/>
      <c r="JVO46" s="473"/>
      <c r="JVP46" s="473"/>
      <c r="JVQ46" s="473"/>
      <c r="JVR46" s="473"/>
      <c r="JVS46" s="473"/>
      <c r="JVT46" s="473"/>
      <c r="JVU46" s="473"/>
      <c r="JVV46" s="473"/>
      <c r="JVW46" s="473"/>
      <c r="JVX46" s="473"/>
      <c r="JVY46" s="473"/>
      <c r="JVZ46" s="473"/>
      <c r="JWA46" s="473"/>
      <c r="JWB46" s="473"/>
      <c r="JWC46" s="473"/>
      <c r="JWD46" s="473"/>
      <c r="JWE46" s="473"/>
      <c r="JWF46" s="473"/>
      <c r="JWG46" s="473"/>
      <c r="JWH46" s="473"/>
      <c r="JWI46" s="473"/>
      <c r="JWJ46" s="473"/>
      <c r="JWK46" s="473"/>
      <c r="JWL46" s="473"/>
      <c r="JWM46" s="473"/>
      <c r="JWN46" s="473"/>
      <c r="JWO46" s="473"/>
      <c r="JWP46" s="473"/>
      <c r="JWQ46" s="473"/>
      <c r="JWR46" s="473"/>
      <c r="JWS46" s="473"/>
      <c r="JWT46" s="473"/>
      <c r="JWU46" s="473"/>
      <c r="JWV46" s="473"/>
      <c r="JWW46" s="473"/>
      <c r="JWX46" s="473"/>
      <c r="JWY46" s="473"/>
      <c r="JWZ46" s="473"/>
      <c r="JXA46" s="473"/>
      <c r="JXB46" s="473"/>
      <c r="JXC46" s="473"/>
      <c r="JXD46" s="473"/>
      <c r="JXE46" s="473"/>
      <c r="JXF46" s="473"/>
      <c r="JXG46" s="473"/>
      <c r="JXH46" s="473"/>
      <c r="JXI46" s="473"/>
      <c r="JXJ46" s="473"/>
      <c r="JXK46" s="473"/>
      <c r="JXL46" s="473"/>
      <c r="JXM46" s="473"/>
      <c r="JXN46" s="473"/>
      <c r="JXO46" s="473"/>
      <c r="JXP46" s="473"/>
      <c r="JXQ46" s="473"/>
      <c r="JXR46" s="473"/>
      <c r="JXS46" s="473"/>
      <c r="JXT46" s="473"/>
      <c r="JXU46" s="473"/>
      <c r="JXV46" s="473"/>
      <c r="JXW46" s="473"/>
      <c r="JXX46" s="473"/>
      <c r="JXY46" s="473"/>
      <c r="JXZ46" s="473"/>
      <c r="JYA46" s="473"/>
      <c r="JYB46" s="473"/>
      <c r="JYC46" s="473"/>
      <c r="JYD46" s="473"/>
      <c r="JYE46" s="473"/>
      <c r="JYF46" s="473"/>
      <c r="JYG46" s="473"/>
      <c r="JYH46" s="473"/>
      <c r="JYI46" s="473"/>
      <c r="JYJ46" s="473"/>
      <c r="JYK46" s="473"/>
      <c r="JYL46" s="473"/>
      <c r="JYM46" s="473"/>
      <c r="JYN46" s="473"/>
      <c r="JYO46" s="473"/>
      <c r="JYP46" s="473"/>
      <c r="JYQ46" s="473"/>
      <c r="JYR46" s="473"/>
      <c r="JYS46" s="473"/>
      <c r="JYT46" s="473"/>
      <c r="JYU46" s="473"/>
      <c r="JYV46" s="473"/>
      <c r="JYW46" s="473"/>
      <c r="JYX46" s="473"/>
      <c r="JYY46" s="473"/>
      <c r="JYZ46" s="473"/>
      <c r="JZA46" s="473"/>
      <c r="JZB46" s="473"/>
      <c r="JZC46" s="473"/>
      <c r="JZD46" s="473"/>
      <c r="JZE46" s="473"/>
      <c r="JZF46" s="473"/>
      <c r="JZG46" s="473"/>
      <c r="JZH46" s="473"/>
      <c r="JZI46" s="473"/>
      <c r="JZJ46" s="473"/>
      <c r="JZK46" s="473"/>
      <c r="JZL46" s="473"/>
      <c r="JZM46" s="473"/>
      <c r="JZN46" s="473"/>
      <c r="JZO46" s="473"/>
      <c r="JZP46" s="473"/>
      <c r="JZQ46" s="473"/>
      <c r="JZR46" s="473"/>
      <c r="JZS46" s="473"/>
      <c r="JZT46" s="473"/>
      <c r="JZU46" s="473"/>
      <c r="JZV46" s="473"/>
      <c r="JZW46" s="473"/>
      <c r="JZX46" s="473"/>
      <c r="JZY46" s="473"/>
      <c r="JZZ46" s="473"/>
      <c r="KAA46" s="473"/>
      <c r="KAB46" s="473"/>
      <c r="KAC46" s="473"/>
      <c r="KAD46" s="473"/>
      <c r="KAE46" s="473"/>
      <c r="KAF46" s="473"/>
      <c r="KAG46" s="473"/>
      <c r="KAH46" s="473"/>
      <c r="KAI46" s="473"/>
      <c r="KAJ46" s="473"/>
      <c r="KAK46" s="473"/>
      <c r="KAL46" s="473"/>
      <c r="KAM46" s="473"/>
      <c r="KAN46" s="473"/>
      <c r="KAO46" s="473"/>
      <c r="KAP46" s="473"/>
      <c r="KAQ46" s="473"/>
      <c r="KAR46" s="473"/>
      <c r="KAS46" s="473"/>
      <c r="KAT46" s="473"/>
      <c r="KAU46" s="473"/>
      <c r="KAV46" s="473"/>
      <c r="KAW46" s="473"/>
      <c r="KAX46" s="473"/>
      <c r="KAY46" s="473"/>
      <c r="KAZ46" s="473"/>
      <c r="KBA46" s="473"/>
      <c r="KBB46" s="473"/>
      <c r="KBC46" s="473"/>
      <c r="KBD46" s="473"/>
      <c r="KBE46" s="473"/>
      <c r="KBF46" s="473"/>
      <c r="KBG46" s="473"/>
      <c r="KBH46" s="473"/>
      <c r="KBI46" s="473"/>
      <c r="KBJ46" s="473"/>
      <c r="KBK46" s="473"/>
      <c r="KBL46" s="473"/>
      <c r="KBM46" s="473"/>
      <c r="KBN46" s="473"/>
      <c r="KBO46" s="473"/>
      <c r="KBP46" s="473"/>
      <c r="KBQ46" s="473"/>
      <c r="KBR46" s="473"/>
      <c r="KBS46" s="473"/>
      <c r="KBT46" s="473"/>
      <c r="KBU46" s="473"/>
      <c r="KBV46" s="473"/>
      <c r="KBW46" s="473"/>
      <c r="KBX46" s="473"/>
      <c r="KBY46" s="473"/>
      <c r="KBZ46" s="473"/>
      <c r="KCA46" s="473"/>
      <c r="KCB46" s="473"/>
      <c r="KCC46" s="473"/>
      <c r="KCD46" s="473"/>
      <c r="KCE46" s="473"/>
      <c r="KCF46" s="473"/>
      <c r="KCG46" s="473"/>
      <c r="KCH46" s="473"/>
      <c r="KCI46" s="473"/>
      <c r="KCJ46" s="473"/>
      <c r="KCK46" s="473"/>
      <c r="KCL46" s="473"/>
      <c r="KCM46" s="473"/>
      <c r="KCN46" s="473"/>
      <c r="KCO46" s="473"/>
      <c r="KCP46" s="473"/>
      <c r="KCQ46" s="473"/>
      <c r="KCR46" s="473"/>
      <c r="KCS46" s="473"/>
      <c r="KCT46" s="473"/>
      <c r="KCU46" s="473"/>
      <c r="KCV46" s="473"/>
      <c r="KCW46" s="473"/>
      <c r="KCX46" s="473"/>
      <c r="KCY46" s="473"/>
      <c r="KCZ46" s="473"/>
      <c r="KDA46" s="473"/>
      <c r="KDB46" s="473"/>
      <c r="KDC46" s="473"/>
      <c r="KDD46" s="473"/>
      <c r="KDE46" s="473"/>
      <c r="KDF46" s="473"/>
      <c r="KDG46" s="473"/>
      <c r="KDH46" s="473"/>
      <c r="KDI46" s="473"/>
      <c r="KDJ46" s="473"/>
      <c r="KDK46" s="473"/>
      <c r="KDL46" s="473"/>
      <c r="KDM46" s="473"/>
      <c r="KDN46" s="473"/>
      <c r="KDO46" s="473"/>
      <c r="KDP46" s="473"/>
      <c r="KDQ46" s="473"/>
      <c r="KDR46" s="473"/>
      <c r="KDS46" s="473"/>
      <c r="KDT46" s="473"/>
      <c r="KDU46" s="473"/>
      <c r="KDV46" s="473"/>
      <c r="KDW46" s="473"/>
      <c r="KDX46" s="473"/>
      <c r="KDY46" s="473"/>
      <c r="KDZ46" s="473"/>
      <c r="KEA46" s="473"/>
      <c r="KEB46" s="473"/>
      <c r="KEC46" s="473"/>
      <c r="KED46" s="473"/>
      <c r="KEE46" s="473"/>
      <c r="KEF46" s="473"/>
      <c r="KEG46" s="473"/>
      <c r="KEH46" s="473"/>
      <c r="KEI46" s="473"/>
      <c r="KEJ46" s="473"/>
      <c r="KEK46" s="473"/>
      <c r="KEL46" s="473"/>
      <c r="KEM46" s="473"/>
      <c r="KEN46" s="473"/>
      <c r="KEO46" s="473"/>
      <c r="KEP46" s="473"/>
      <c r="KEQ46" s="473"/>
      <c r="KER46" s="473"/>
      <c r="KES46" s="473"/>
      <c r="KET46" s="473"/>
      <c r="KEU46" s="473"/>
      <c r="KEV46" s="473"/>
      <c r="KEW46" s="473"/>
      <c r="KEX46" s="473"/>
      <c r="KEY46" s="473"/>
      <c r="KEZ46" s="473"/>
      <c r="KFA46" s="473"/>
      <c r="KFB46" s="473"/>
      <c r="KFC46" s="473"/>
      <c r="KFD46" s="473"/>
      <c r="KFE46" s="473"/>
      <c r="KFF46" s="473"/>
      <c r="KFG46" s="473"/>
      <c r="KFH46" s="473"/>
      <c r="KFI46" s="473"/>
      <c r="KFJ46" s="473"/>
      <c r="KFK46" s="473"/>
      <c r="KFL46" s="473"/>
      <c r="KFM46" s="473"/>
      <c r="KFN46" s="473"/>
      <c r="KFO46" s="473"/>
      <c r="KFP46" s="473"/>
      <c r="KFQ46" s="473"/>
      <c r="KFR46" s="473"/>
      <c r="KFS46" s="473"/>
      <c r="KFT46" s="473"/>
      <c r="KFU46" s="473"/>
      <c r="KFV46" s="473"/>
      <c r="KFW46" s="473"/>
      <c r="KFX46" s="473"/>
      <c r="KFY46" s="473"/>
      <c r="KFZ46" s="473"/>
      <c r="KGA46" s="473"/>
      <c r="KGB46" s="473"/>
      <c r="KGC46" s="473"/>
      <c r="KGD46" s="473"/>
      <c r="KGE46" s="473"/>
      <c r="KGF46" s="473"/>
      <c r="KGG46" s="473"/>
      <c r="KGH46" s="473"/>
      <c r="KGI46" s="473"/>
      <c r="KGJ46" s="473"/>
      <c r="KGK46" s="473"/>
      <c r="KGL46" s="473"/>
      <c r="KGM46" s="473"/>
      <c r="KGN46" s="473"/>
      <c r="KGO46" s="473"/>
      <c r="KGP46" s="473"/>
      <c r="KGQ46" s="473"/>
      <c r="KGR46" s="473"/>
      <c r="KGS46" s="473"/>
      <c r="KGT46" s="473"/>
      <c r="KGU46" s="473"/>
      <c r="KGV46" s="473"/>
      <c r="KGW46" s="473"/>
      <c r="KGX46" s="473"/>
      <c r="KGY46" s="473"/>
      <c r="KGZ46" s="473"/>
      <c r="KHA46" s="473"/>
      <c r="KHB46" s="473"/>
      <c r="KHC46" s="473"/>
      <c r="KHD46" s="473"/>
      <c r="KHE46" s="473"/>
      <c r="KHF46" s="473"/>
      <c r="KHG46" s="473"/>
      <c r="KHH46" s="473"/>
      <c r="KHI46" s="473"/>
      <c r="KHJ46" s="473"/>
      <c r="KHK46" s="473"/>
      <c r="KHL46" s="473"/>
      <c r="KHM46" s="473"/>
      <c r="KHN46" s="473"/>
      <c r="KHO46" s="473"/>
      <c r="KHP46" s="473"/>
      <c r="KHQ46" s="473"/>
      <c r="KHR46" s="473"/>
      <c r="KHS46" s="473"/>
      <c r="KHT46" s="473"/>
      <c r="KHU46" s="473"/>
      <c r="KHV46" s="473"/>
      <c r="KHW46" s="473"/>
      <c r="KHX46" s="473"/>
      <c r="KHY46" s="473"/>
      <c r="KHZ46" s="473"/>
      <c r="KIA46" s="473"/>
      <c r="KIB46" s="473"/>
      <c r="KIC46" s="473"/>
      <c r="KID46" s="473"/>
      <c r="KIE46" s="473"/>
      <c r="KIF46" s="473"/>
      <c r="KIG46" s="473"/>
      <c r="KIH46" s="473"/>
      <c r="KII46" s="473"/>
      <c r="KIJ46" s="473"/>
      <c r="KIK46" s="473"/>
      <c r="KIL46" s="473"/>
      <c r="KIM46" s="473"/>
      <c r="KIN46" s="473"/>
      <c r="KIO46" s="473"/>
      <c r="KIP46" s="473"/>
      <c r="KIQ46" s="473"/>
      <c r="KIR46" s="473"/>
      <c r="KIS46" s="473"/>
      <c r="KIT46" s="473"/>
      <c r="KIU46" s="473"/>
      <c r="KIV46" s="473"/>
      <c r="KIW46" s="473"/>
      <c r="KIX46" s="473"/>
      <c r="KIY46" s="473"/>
      <c r="KIZ46" s="473"/>
      <c r="KJA46" s="473"/>
      <c r="KJB46" s="473"/>
      <c r="KJC46" s="473"/>
      <c r="KJD46" s="473"/>
      <c r="KJE46" s="473"/>
      <c r="KJF46" s="473"/>
      <c r="KJG46" s="473"/>
      <c r="KJH46" s="473"/>
      <c r="KJI46" s="473"/>
      <c r="KJJ46" s="473"/>
      <c r="KJK46" s="473"/>
      <c r="KJL46" s="473"/>
      <c r="KJM46" s="473"/>
      <c r="KJN46" s="473"/>
      <c r="KJO46" s="473"/>
      <c r="KJP46" s="473"/>
      <c r="KJQ46" s="473"/>
      <c r="KJR46" s="473"/>
      <c r="KJS46" s="473"/>
      <c r="KJT46" s="473"/>
      <c r="KJU46" s="473"/>
      <c r="KJV46" s="473"/>
      <c r="KJW46" s="473"/>
      <c r="KJX46" s="473"/>
      <c r="KJY46" s="473"/>
      <c r="KJZ46" s="473"/>
      <c r="KKA46" s="473"/>
      <c r="KKB46" s="473"/>
      <c r="KKC46" s="473"/>
      <c r="KKD46" s="473"/>
      <c r="KKE46" s="473"/>
      <c r="KKF46" s="473"/>
      <c r="KKG46" s="473"/>
      <c r="KKH46" s="473"/>
      <c r="KKI46" s="473"/>
      <c r="KKJ46" s="473"/>
      <c r="KKK46" s="473"/>
      <c r="KKL46" s="473"/>
      <c r="KKM46" s="473"/>
      <c r="KKN46" s="473"/>
      <c r="KKO46" s="473"/>
      <c r="KKP46" s="473"/>
      <c r="KKQ46" s="473"/>
      <c r="KKR46" s="473"/>
      <c r="KKS46" s="473"/>
      <c r="KKT46" s="473"/>
      <c r="KKU46" s="473"/>
      <c r="KKV46" s="473"/>
      <c r="KKW46" s="473"/>
      <c r="KKX46" s="473"/>
      <c r="KKY46" s="473"/>
      <c r="KKZ46" s="473"/>
      <c r="KLA46" s="473"/>
      <c r="KLB46" s="473"/>
      <c r="KLC46" s="473"/>
      <c r="KLD46" s="473"/>
      <c r="KLE46" s="473"/>
      <c r="KLF46" s="473"/>
      <c r="KLG46" s="473"/>
      <c r="KLH46" s="473"/>
      <c r="KLI46" s="473"/>
      <c r="KLJ46" s="473"/>
      <c r="KLK46" s="473"/>
      <c r="KLL46" s="473"/>
      <c r="KLM46" s="473"/>
      <c r="KLN46" s="473"/>
      <c r="KLO46" s="473"/>
      <c r="KLP46" s="473"/>
      <c r="KLQ46" s="473"/>
      <c r="KLR46" s="473"/>
      <c r="KLS46" s="473"/>
      <c r="KLT46" s="473"/>
      <c r="KLU46" s="473"/>
      <c r="KLV46" s="473"/>
      <c r="KLW46" s="473"/>
      <c r="KLX46" s="473"/>
      <c r="KLY46" s="473"/>
      <c r="KLZ46" s="473"/>
      <c r="KMA46" s="473"/>
      <c r="KMB46" s="473"/>
      <c r="KMC46" s="473"/>
      <c r="KMD46" s="473"/>
      <c r="KME46" s="473"/>
      <c r="KMF46" s="473"/>
      <c r="KMG46" s="473"/>
      <c r="KMH46" s="473"/>
      <c r="KMI46" s="473"/>
      <c r="KMJ46" s="473"/>
      <c r="KMK46" s="473"/>
      <c r="KML46" s="473"/>
      <c r="KMM46" s="473"/>
      <c r="KMN46" s="473"/>
      <c r="KMO46" s="473"/>
      <c r="KMP46" s="473"/>
      <c r="KMQ46" s="473"/>
      <c r="KMR46" s="473"/>
      <c r="KMS46" s="473"/>
      <c r="KMT46" s="473"/>
      <c r="KMU46" s="473"/>
      <c r="KMV46" s="473"/>
      <c r="KMW46" s="473"/>
      <c r="KMX46" s="473"/>
      <c r="KMY46" s="473"/>
      <c r="KMZ46" s="473"/>
      <c r="KNA46" s="473"/>
      <c r="KNB46" s="473"/>
      <c r="KNC46" s="473"/>
      <c r="KND46" s="473"/>
      <c r="KNE46" s="473"/>
      <c r="KNF46" s="473"/>
      <c r="KNG46" s="473"/>
      <c r="KNH46" s="473"/>
      <c r="KNI46" s="473"/>
      <c r="KNJ46" s="473"/>
      <c r="KNK46" s="473"/>
      <c r="KNL46" s="473"/>
      <c r="KNM46" s="473"/>
      <c r="KNN46" s="473"/>
      <c r="KNO46" s="473"/>
      <c r="KNP46" s="473"/>
      <c r="KNQ46" s="473"/>
      <c r="KNR46" s="473"/>
      <c r="KNS46" s="473"/>
      <c r="KNT46" s="473"/>
      <c r="KNU46" s="473"/>
      <c r="KNV46" s="473"/>
      <c r="KNW46" s="473"/>
      <c r="KNX46" s="473"/>
      <c r="KNY46" s="473"/>
      <c r="KNZ46" s="473"/>
      <c r="KOA46" s="473"/>
      <c r="KOB46" s="473"/>
      <c r="KOC46" s="473"/>
      <c r="KOD46" s="473"/>
      <c r="KOE46" s="473"/>
      <c r="KOF46" s="473"/>
      <c r="KOG46" s="473"/>
      <c r="KOH46" s="473"/>
      <c r="KOI46" s="473"/>
      <c r="KOJ46" s="473"/>
      <c r="KOK46" s="473"/>
      <c r="KOL46" s="473"/>
      <c r="KOM46" s="473"/>
      <c r="KON46" s="473"/>
      <c r="KOO46" s="473"/>
      <c r="KOP46" s="473"/>
      <c r="KOQ46" s="473"/>
      <c r="KOR46" s="473"/>
      <c r="KOS46" s="473"/>
      <c r="KOT46" s="473"/>
      <c r="KOU46" s="473"/>
      <c r="KOV46" s="473"/>
      <c r="KOW46" s="473"/>
      <c r="KOX46" s="473"/>
      <c r="KOY46" s="473"/>
      <c r="KOZ46" s="473"/>
      <c r="KPA46" s="473"/>
      <c r="KPB46" s="473"/>
      <c r="KPC46" s="473"/>
      <c r="KPD46" s="473"/>
      <c r="KPE46" s="473"/>
      <c r="KPF46" s="473"/>
      <c r="KPG46" s="473"/>
      <c r="KPH46" s="473"/>
      <c r="KPI46" s="473"/>
      <c r="KPJ46" s="473"/>
      <c r="KPK46" s="473"/>
      <c r="KPL46" s="473"/>
      <c r="KPM46" s="473"/>
      <c r="KPN46" s="473"/>
      <c r="KPO46" s="473"/>
      <c r="KPP46" s="473"/>
      <c r="KPQ46" s="473"/>
      <c r="KPR46" s="473"/>
      <c r="KPS46" s="473"/>
      <c r="KPT46" s="473"/>
      <c r="KPU46" s="473"/>
      <c r="KPV46" s="473"/>
      <c r="KPW46" s="473"/>
      <c r="KPX46" s="473"/>
      <c r="KPY46" s="473"/>
      <c r="KPZ46" s="473"/>
      <c r="KQA46" s="473"/>
      <c r="KQB46" s="473"/>
      <c r="KQC46" s="473"/>
      <c r="KQD46" s="473"/>
      <c r="KQE46" s="473"/>
      <c r="KQF46" s="473"/>
      <c r="KQG46" s="473"/>
      <c r="KQH46" s="473"/>
      <c r="KQI46" s="473"/>
      <c r="KQJ46" s="473"/>
      <c r="KQK46" s="473"/>
      <c r="KQL46" s="473"/>
      <c r="KQM46" s="473"/>
      <c r="KQN46" s="473"/>
      <c r="KQO46" s="473"/>
      <c r="KQP46" s="473"/>
      <c r="KQQ46" s="473"/>
      <c r="KQR46" s="473"/>
      <c r="KQS46" s="473"/>
      <c r="KQT46" s="473"/>
      <c r="KQU46" s="473"/>
      <c r="KQV46" s="473"/>
      <c r="KQW46" s="473"/>
      <c r="KQX46" s="473"/>
      <c r="KQY46" s="473"/>
      <c r="KQZ46" s="473"/>
      <c r="KRA46" s="473"/>
      <c r="KRB46" s="473"/>
      <c r="KRC46" s="473"/>
      <c r="KRD46" s="473"/>
      <c r="KRE46" s="473"/>
      <c r="KRF46" s="473"/>
      <c r="KRG46" s="473"/>
      <c r="KRH46" s="473"/>
      <c r="KRI46" s="473"/>
      <c r="KRJ46" s="473"/>
      <c r="KRK46" s="473"/>
      <c r="KRL46" s="473"/>
      <c r="KRM46" s="473"/>
      <c r="KRN46" s="473"/>
      <c r="KRO46" s="473"/>
      <c r="KRP46" s="473"/>
      <c r="KRQ46" s="473"/>
      <c r="KRR46" s="473"/>
      <c r="KRS46" s="473"/>
      <c r="KRT46" s="473"/>
      <c r="KRU46" s="473"/>
      <c r="KRV46" s="473"/>
      <c r="KRW46" s="473"/>
      <c r="KRX46" s="473"/>
      <c r="KRY46" s="473"/>
      <c r="KRZ46" s="473"/>
      <c r="KSA46" s="473"/>
      <c r="KSB46" s="473"/>
      <c r="KSC46" s="473"/>
      <c r="KSD46" s="473"/>
      <c r="KSE46" s="473"/>
      <c r="KSF46" s="473"/>
      <c r="KSG46" s="473"/>
      <c r="KSH46" s="473"/>
      <c r="KSI46" s="473"/>
      <c r="KSJ46" s="473"/>
      <c r="KSK46" s="473"/>
      <c r="KSL46" s="473"/>
      <c r="KSM46" s="473"/>
      <c r="KSN46" s="473"/>
      <c r="KSO46" s="473"/>
      <c r="KSP46" s="473"/>
      <c r="KSQ46" s="473"/>
      <c r="KSR46" s="473"/>
      <c r="KSS46" s="473"/>
      <c r="KST46" s="473"/>
      <c r="KSU46" s="473"/>
      <c r="KSV46" s="473"/>
      <c r="KSW46" s="473"/>
      <c r="KSX46" s="473"/>
      <c r="KSY46" s="473"/>
      <c r="KSZ46" s="473"/>
      <c r="KTA46" s="473"/>
      <c r="KTB46" s="473"/>
      <c r="KTC46" s="473"/>
      <c r="KTD46" s="473"/>
      <c r="KTE46" s="473"/>
      <c r="KTF46" s="473"/>
      <c r="KTG46" s="473"/>
      <c r="KTH46" s="473"/>
      <c r="KTI46" s="473"/>
      <c r="KTJ46" s="473"/>
      <c r="KTK46" s="473"/>
      <c r="KTL46" s="473"/>
      <c r="KTM46" s="473"/>
      <c r="KTN46" s="473"/>
      <c r="KTO46" s="473"/>
      <c r="KTP46" s="473"/>
      <c r="KTQ46" s="473"/>
      <c r="KTR46" s="473"/>
      <c r="KTS46" s="473"/>
      <c r="KTT46" s="473"/>
      <c r="KTU46" s="473"/>
      <c r="KTV46" s="473"/>
      <c r="KTW46" s="473"/>
      <c r="KTX46" s="473"/>
      <c r="KTY46" s="473"/>
      <c r="KTZ46" s="473"/>
      <c r="KUA46" s="473"/>
      <c r="KUB46" s="473"/>
      <c r="KUC46" s="473"/>
      <c r="KUD46" s="473"/>
      <c r="KUE46" s="473"/>
      <c r="KUF46" s="473"/>
      <c r="KUG46" s="473"/>
      <c r="KUH46" s="473"/>
      <c r="KUI46" s="473"/>
      <c r="KUJ46" s="473"/>
      <c r="KUK46" s="473"/>
      <c r="KUL46" s="473"/>
      <c r="KUM46" s="473"/>
      <c r="KUN46" s="473"/>
      <c r="KUO46" s="473"/>
      <c r="KUP46" s="473"/>
      <c r="KUQ46" s="473"/>
      <c r="KUR46" s="473"/>
      <c r="KUS46" s="473"/>
      <c r="KUT46" s="473"/>
      <c r="KUU46" s="473"/>
      <c r="KUV46" s="473"/>
      <c r="KUW46" s="473"/>
      <c r="KUX46" s="473"/>
      <c r="KUY46" s="473"/>
      <c r="KUZ46" s="473"/>
      <c r="KVA46" s="473"/>
      <c r="KVB46" s="473"/>
      <c r="KVC46" s="473"/>
      <c r="KVD46" s="473"/>
      <c r="KVE46" s="473"/>
      <c r="KVF46" s="473"/>
      <c r="KVG46" s="473"/>
      <c r="KVH46" s="473"/>
      <c r="KVI46" s="473"/>
      <c r="KVJ46" s="473"/>
      <c r="KVK46" s="473"/>
      <c r="KVL46" s="473"/>
      <c r="KVM46" s="473"/>
      <c r="KVN46" s="473"/>
      <c r="KVO46" s="473"/>
      <c r="KVP46" s="473"/>
      <c r="KVQ46" s="473"/>
      <c r="KVR46" s="473"/>
      <c r="KVS46" s="473"/>
      <c r="KVT46" s="473"/>
      <c r="KVU46" s="473"/>
      <c r="KVV46" s="473"/>
      <c r="KVW46" s="473"/>
      <c r="KVX46" s="473"/>
      <c r="KVY46" s="473"/>
      <c r="KVZ46" s="473"/>
      <c r="KWA46" s="473"/>
      <c r="KWB46" s="473"/>
      <c r="KWC46" s="473"/>
      <c r="KWD46" s="473"/>
      <c r="KWE46" s="473"/>
      <c r="KWF46" s="473"/>
      <c r="KWG46" s="473"/>
      <c r="KWH46" s="473"/>
      <c r="KWI46" s="473"/>
      <c r="KWJ46" s="473"/>
      <c r="KWK46" s="473"/>
      <c r="KWL46" s="473"/>
      <c r="KWM46" s="473"/>
      <c r="KWN46" s="473"/>
      <c r="KWO46" s="473"/>
      <c r="KWP46" s="473"/>
      <c r="KWQ46" s="473"/>
      <c r="KWR46" s="473"/>
      <c r="KWS46" s="473"/>
      <c r="KWT46" s="473"/>
      <c r="KWU46" s="473"/>
      <c r="KWV46" s="473"/>
      <c r="KWW46" s="473"/>
      <c r="KWX46" s="473"/>
      <c r="KWY46" s="473"/>
      <c r="KWZ46" s="473"/>
      <c r="KXA46" s="473"/>
      <c r="KXB46" s="473"/>
      <c r="KXC46" s="473"/>
      <c r="KXD46" s="473"/>
      <c r="KXE46" s="473"/>
      <c r="KXF46" s="473"/>
      <c r="KXG46" s="473"/>
      <c r="KXH46" s="473"/>
      <c r="KXI46" s="473"/>
      <c r="KXJ46" s="473"/>
      <c r="KXK46" s="473"/>
      <c r="KXL46" s="473"/>
      <c r="KXM46" s="473"/>
      <c r="KXN46" s="473"/>
      <c r="KXO46" s="473"/>
      <c r="KXP46" s="473"/>
      <c r="KXQ46" s="473"/>
      <c r="KXR46" s="473"/>
      <c r="KXS46" s="473"/>
      <c r="KXT46" s="473"/>
      <c r="KXU46" s="473"/>
      <c r="KXV46" s="473"/>
      <c r="KXW46" s="473"/>
      <c r="KXX46" s="473"/>
      <c r="KXY46" s="473"/>
      <c r="KXZ46" s="473"/>
      <c r="KYA46" s="473"/>
      <c r="KYB46" s="473"/>
      <c r="KYC46" s="473"/>
      <c r="KYD46" s="473"/>
      <c r="KYE46" s="473"/>
      <c r="KYF46" s="473"/>
      <c r="KYG46" s="473"/>
      <c r="KYH46" s="473"/>
      <c r="KYI46" s="473"/>
      <c r="KYJ46" s="473"/>
      <c r="KYK46" s="473"/>
      <c r="KYL46" s="473"/>
      <c r="KYM46" s="473"/>
      <c r="KYN46" s="473"/>
      <c r="KYO46" s="473"/>
      <c r="KYP46" s="473"/>
      <c r="KYQ46" s="473"/>
      <c r="KYR46" s="473"/>
      <c r="KYS46" s="473"/>
      <c r="KYT46" s="473"/>
      <c r="KYU46" s="473"/>
      <c r="KYV46" s="473"/>
      <c r="KYW46" s="473"/>
      <c r="KYX46" s="473"/>
      <c r="KYY46" s="473"/>
      <c r="KYZ46" s="473"/>
      <c r="KZA46" s="473"/>
      <c r="KZB46" s="473"/>
      <c r="KZC46" s="473"/>
      <c r="KZD46" s="473"/>
      <c r="KZE46" s="473"/>
      <c r="KZF46" s="473"/>
      <c r="KZG46" s="473"/>
      <c r="KZH46" s="473"/>
      <c r="KZI46" s="473"/>
      <c r="KZJ46" s="473"/>
      <c r="KZK46" s="473"/>
      <c r="KZL46" s="473"/>
      <c r="KZM46" s="473"/>
      <c r="KZN46" s="473"/>
      <c r="KZO46" s="473"/>
      <c r="KZP46" s="473"/>
      <c r="KZQ46" s="473"/>
      <c r="KZR46" s="473"/>
      <c r="KZS46" s="473"/>
      <c r="KZT46" s="473"/>
      <c r="KZU46" s="473"/>
      <c r="KZV46" s="473"/>
      <c r="KZW46" s="473"/>
      <c r="KZX46" s="473"/>
      <c r="KZY46" s="473"/>
      <c r="KZZ46" s="473"/>
      <c r="LAA46" s="473"/>
      <c r="LAB46" s="473"/>
      <c r="LAC46" s="473"/>
      <c r="LAD46" s="473"/>
      <c r="LAE46" s="473"/>
      <c r="LAF46" s="473"/>
      <c r="LAG46" s="473"/>
      <c r="LAH46" s="473"/>
      <c r="LAI46" s="473"/>
      <c r="LAJ46" s="473"/>
      <c r="LAK46" s="473"/>
      <c r="LAL46" s="473"/>
      <c r="LAM46" s="473"/>
      <c r="LAN46" s="473"/>
      <c r="LAO46" s="473"/>
      <c r="LAP46" s="473"/>
      <c r="LAQ46" s="473"/>
      <c r="LAR46" s="473"/>
      <c r="LAS46" s="473"/>
      <c r="LAT46" s="473"/>
      <c r="LAU46" s="473"/>
      <c r="LAV46" s="473"/>
      <c r="LAW46" s="473"/>
      <c r="LAX46" s="473"/>
      <c r="LAY46" s="473"/>
      <c r="LAZ46" s="473"/>
      <c r="LBA46" s="473"/>
      <c r="LBB46" s="473"/>
      <c r="LBC46" s="473"/>
      <c r="LBD46" s="473"/>
      <c r="LBE46" s="473"/>
      <c r="LBF46" s="473"/>
      <c r="LBG46" s="473"/>
      <c r="LBH46" s="473"/>
      <c r="LBI46" s="473"/>
      <c r="LBJ46" s="473"/>
      <c r="LBK46" s="473"/>
      <c r="LBL46" s="473"/>
      <c r="LBM46" s="473"/>
      <c r="LBN46" s="473"/>
      <c r="LBO46" s="473"/>
      <c r="LBP46" s="473"/>
      <c r="LBQ46" s="473"/>
      <c r="LBR46" s="473"/>
      <c r="LBS46" s="473"/>
      <c r="LBT46" s="473"/>
      <c r="LBU46" s="473"/>
      <c r="LBV46" s="473"/>
      <c r="LBW46" s="473"/>
      <c r="LBX46" s="473"/>
      <c r="LBY46" s="473"/>
      <c r="LBZ46" s="473"/>
      <c r="LCA46" s="473"/>
      <c r="LCB46" s="473"/>
      <c r="LCC46" s="473"/>
      <c r="LCD46" s="473"/>
      <c r="LCE46" s="473"/>
      <c r="LCF46" s="473"/>
      <c r="LCG46" s="473"/>
      <c r="LCH46" s="473"/>
      <c r="LCI46" s="473"/>
      <c r="LCJ46" s="473"/>
      <c r="LCK46" s="473"/>
      <c r="LCL46" s="473"/>
      <c r="LCM46" s="473"/>
      <c r="LCN46" s="473"/>
      <c r="LCO46" s="473"/>
      <c r="LCP46" s="473"/>
      <c r="LCQ46" s="473"/>
      <c r="LCR46" s="473"/>
      <c r="LCS46" s="473"/>
      <c r="LCT46" s="473"/>
      <c r="LCU46" s="473"/>
      <c r="LCV46" s="473"/>
      <c r="LCW46" s="473"/>
      <c r="LCX46" s="473"/>
      <c r="LCY46" s="473"/>
      <c r="LCZ46" s="473"/>
      <c r="LDA46" s="473"/>
      <c r="LDB46" s="473"/>
      <c r="LDC46" s="473"/>
      <c r="LDD46" s="473"/>
      <c r="LDE46" s="473"/>
      <c r="LDF46" s="473"/>
      <c r="LDG46" s="473"/>
      <c r="LDH46" s="473"/>
      <c r="LDI46" s="473"/>
      <c r="LDJ46" s="473"/>
      <c r="LDK46" s="473"/>
      <c r="LDL46" s="473"/>
      <c r="LDM46" s="473"/>
      <c r="LDN46" s="473"/>
      <c r="LDO46" s="473"/>
      <c r="LDP46" s="473"/>
      <c r="LDQ46" s="473"/>
      <c r="LDR46" s="473"/>
      <c r="LDS46" s="473"/>
      <c r="LDT46" s="473"/>
      <c r="LDU46" s="473"/>
      <c r="LDV46" s="473"/>
      <c r="LDW46" s="473"/>
      <c r="LDX46" s="473"/>
      <c r="LDY46" s="473"/>
      <c r="LDZ46" s="473"/>
      <c r="LEA46" s="473"/>
      <c r="LEB46" s="473"/>
      <c r="LEC46" s="473"/>
      <c r="LED46" s="473"/>
      <c r="LEE46" s="473"/>
      <c r="LEF46" s="473"/>
      <c r="LEG46" s="473"/>
      <c r="LEH46" s="473"/>
      <c r="LEI46" s="473"/>
      <c r="LEJ46" s="473"/>
      <c r="LEK46" s="473"/>
      <c r="LEL46" s="473"/>
      <c r="LEM46" s="473"/>
      <c r="LEN46" s="473"/>
      <c r="LEO46" s="473"/>
      <c r="LEP46" s="473"/>
      <c r="LEQ46" s="473"/>
      <c r="LER46" s="473"/>
      <c r="LES46" s="473"/>
      <c r="LET46" s="473"/>
      <c r="LEU46" s="473"/>
      <c r="LEV46" s="473"/>
      <c r="LEW46" s="473"/>
      <c r="LEX46" s="473"/>
      <c r="LEY46" s="473"/>
      <c r="LEZ46" s="473"/>
      <c r="LFA46" s="473"/>
      <c r="LFB46" s="473"/>
      <c r="LFC46" s="473"/>
      <c r="LFD46" s="473"/>
      <c r="LFE46" s="473"/>
      <c r="LFF46" s="473"/>
      <c r="LFG46" s="473"/>
      <c r="LFH46" s="473"/>
      <c r="LFI46" s="473"/>
      <c r="LFJ46" s="473"/>
      <c r="LFK46" s="473"/>
      <c r="LFL46" s="473"/>
      <c r="LFM46" s="473"/>
      <c r="LFN46" s="473"/>
      <c r="LFO46" s="473"/>
      <c r="LFP46" s="473"/>
      <c r="LFQ46" s="473"/>
      <c r="LFR46" s="473"/>
      <c r="LFS46" s="473"/>
      <c r="LFT46" s="473"/>
      <c r="LFU46" s="473"/>
      <c r="LFV46" s="473"/>
      <c r="LFW46" s="473"/>
      <c r="LFX46" s="473"/>
      <c r="LFY46" s="473"/>
      <c r="LFZ46" s="473"/>
      <c r="LGA46" s="473"/>
      <c r="LGB46" s="473"/>
      <c r="LGC46" s="473"/>
      <c r="LGD46" s="473"/>
      <c r="LGE46" s="473"/>
      <c r="LGF46" s="473"/>
      <c r="LGG46" s="473"/>
      <c r="LGH46" s="473"/>
      <c r="LGI46" s="473"/>
      <c r="LGJ46" s="473"/>
      <c r="LGK46" s="473"/>
      <c r="LGL46" s="473"/>
      <c r="LGM46" s="473"/>
      <c r="LGN46" s="473"/>
      <c r="LGO46" s="473"/>
      <c r="LGP46" s="473"/>
      <c r="LGQ46" s="473"/>
      <c r="LGR46" s="473"/>
      <c r="LGS46" s="473"/>
      <c r="LGT46" s="473"/>
      <c r="LGU46" s="473"/>
      <c r="LGV46" s="473"/>
      <c r="LGW46" s="473"/>
      <c r="LGX46" s="473"/>
      <c r="LGY46" s="473"/>
      <c r="LGZ46" s="473"/>
      <c r="LHA46" s="473"/>
      <c r="LHB46" s="473"/>
      <c r="LHC46" s="473"/>
      <c r="LHD46" s="473"/>
      <c r="LHE46" s="473"/>
      <c r="LHF46" s="473"/>
      <c r="LHG46" s="473"/>
      <c r="LHH46" s="473"/>
      <c r="LHI46" s="473"/>
      <c r="LHJ46" s="473"/>
      <c r="LHK46" s="473"/>
      <c r="LHL46" s="473"/>
      <c r="LHM46" s="473"/>
      <c r="LHN46" s="473"/>
      <c r="LHO46" s="473"/>
      <c r="LHP46" s="473"/>
      <c r="LHQ46" s="473"/>
      <c r="LHR46" s="473"/>
      <c r="LHS46" s="473"/>
      <c r="LHT46" s="473"/>
      <c r="LHU46" s="473"/>
      <c r="LHV46" s="473"/>
      <c r="LHW46" s="473"/>
      <c r="LHX46" s="473"/>
      <c r="LHY46" s="473"/>
      <c r="LHZ46" s="473"/>
      <c r="LIA46" s="473"/>
      <c r="LIB46" s="473"/>
      <c r="LIC46" s="473"/>
      <c r="LID46" s="473"/>
      <c r="LIE46" s="473"/>
      <c r="LIF46" s="473"/>
      <c r="LIG46" s="473"/>
      <c r="LIH46" s="473"/>
      <c r="LII46" s="473"/>
      <c r="LIJ46" s="473"/>
      <c r="LIK46" s="473"/>
      <c r="LIL46" s="473"/>
      <c r="LIM46" s="473"/>
      <c r="LIN46" s="473"/>
      <c r="LIO46" s="473"/>
      <c r="LIP46" s="473"/>
      <c r="LIQ46" s="473"/>
      <c r="LIR46" s="473"/>
      <c r="LIS46" s="473"/>
      <c r="LIT46" s="473"/>
      <c r="LIU46" s="473"/>
      <c r="LIV46" s="473"/>
      <c r="LIW46" s="473"/>
      <c r="LIX46" s="473"/>
      <c r="LIY46" s="473"/>
      <c r="LIZ46" s="473"/>
      <c r="LJA46" s="473"/>
      <c r="LJB46" s="473"/>
      <c r="LJC46" s="473"/>
      <c r="LJD46" s="473"/>
      <c r="LJE46" s="473"/>
      <c r="LJF46" s="473"/>
      <c r="LJG46" s="473"/>
      <c r="LJH46" s="473"/>
      <c r="LJI46" s="473"/>
      <c r="LJJ46" s="473"/>
      <c r="LJK46" s="473"/>
      <c r="LJL46" s="473"/>
      <c r="LJM46" s="473"/>
      <c r="LJN46" s="473"/>
      <c r="LJO46" s="473"/>
      <c r="LJP46" s="473"/>
      <c r="LJQ46" s="473"/>
      <c r="LJR46" s="473"/>
      <c r="LJS46" s="473"/>
      <c r="LJT46" s="473"/>
      <c r="LJU46" s="473"/>
      <c r="LJV46" s="473"/>
      <c r="LJW46" s="473"/>
      <c r="LJX46" s="473"/>
      <c r="LJY46" s="473"/>
      <c r="LJZ46" s="473"/>
      <c r="LKA46" s="473"/>
      <c r="LKB46" s="473"/>
      <c r="LKC46" s="473"/>
      <c r="LKD46" s="473"/>
      <c r="LKE46" s="473"/>
      <c r="LKF46" s="473"/>
      <c r="LKG46" s="473"/>
      <c r="LKH46" s="473"/>
      <c r="LKI46" s="473"/>
      <c r="LKJ46" s="473"/>
      <c r="LKK46" s="473"/>
      <c r="LKL46" s="473"/>
      <c r="LKM46" s="473"/>
      <c r="LKN46" s="473"/>
      <c r="LKO46" s="473"/>
      <c r="LKP46" s="473"/>
      <c r="LKQ46" s="473"/>
      <c r="LKR46" s="473"/>
      <c r="LKS46" s="473"/>
      <c r="LKT46" s="473"/>
      <c r="LKU46" s="473"/>
      <c r="LKV46" s="473"/>
      <c r="LKW46" s="473"/>
      <c r="LKX46" s="473"/>
      <c r="LKY46" s="473"/>
      <c r="LKZ46" s="473"/>
      <c r="LLA46" s="473"/>
      <c r="LLB46" s="473"/>
      <c r="LLC46" s="473"/>
      <c r="LLD46" s="473"/>
      <c r="LLE46" s="473"/>
      <c r="LLF46" s="473"/>
      <c r="LLG46" s="473"/>
      <c r="LLH46" s="473"/>
      <c r="LLI46" s="473"/>
      <c r="LLJ46" s="473"/>
      <c r="LLK46" s="473"/>
      <c r="LLL46" s="473"/>
      <c r="LLM46" s="473"/>
      <c r="LLN46" s="473"/>
      <c r="LLO46" s="473"/>
      <c r="LLP46" s="473"/>
      <c r="LLQ46" s="473"/>
      <c r="LLR46" s="473"/>
      <c r="LLS46" s="473"/>
      <c r="LLT46" s="473"/>
      <c r="LLU46" s="473"/>
      <c r="LLV46" s="473"/>
      <c r="LLW46" s="473"/>
      <c r="LLX46" s="473"/>
      <c r="LLY46" s="473"/>
      <c r="LLZ46" s="473"/>
      <c r="LMA46" s="473"/>
      <c r="LMB46" s="473"/>
      <c r="LMC46" s="473"/>
      <c r="LMD46" s="473"/>
      <c r="LME46" s="473"/>
      <c r="LMF46" s="473"/>
      <c r="LMG46" s="473"/>
      <c r="LMH46" s="473"/>
      <c r="LMI46" s="473"/>
      <c r="LMJ46" s="473"/>
      <c r="LMK46" s="473"/>
      <c r="LML46" s="473"/>
      <c r="LMM46" s="473"/>
      <c r="LMN46" s="473"/>
      <c r="LMO46" s="473"/>
      <c r="LMP46" s="473"/>
      <c r="LMQ46" s="473"/>
      <c r="LMR46" s="473"/>
      <c r="LMS46" s="473"/>
      <c r="LMT46" s="473"/>
      <c r="LMU46" s="473"/>
      <c r="LMV46" s="473"/>
      <c r="LMW46" s="473"/>
      <c r="LMX46" s="473"/>
      <c r="LMY46" s="473"/>
      <c r="LMZ46" s="473"/>
      <c r="LNA46" s="473"/>
      <c r="LNB46" s="473"/>
      <c r="LNC46" s="473"/>
      <c r="LND46" s="473"/>
      <c r="LNE46" s="473"/>
      <c r="LNF46" s="473"/>
      <c r="LNG46" s="473"/>
      <c r="LNH46" s="473"/>
      <c r="LNI46" s="473"/>
      <c r="LNJ46" s="473"/>
      <c r="LNK46" s="473"/>
      <c r="LNL46" s="473"/>
      <c r="LNM46" s="473"/>
      <c r="LNN46" s="473"/>
      <c r="LNO46" s="473"/>
      <c r="LNP46" s="473"/>
      <c r="LNQ46" s="473"/>
      <c r="LNR46" s="473"/>
      <c r="LNS46" s="473"/>
      <c r="LNT46" s="473"/>
      <c r="LNU46" s="473"/>
      <c r="LNV46" s="473"/>
      <c r="LNW46" s="473"/>
      <c r="LNX46" s="473"/>
      <c r="LNY46" s="473"/>
      <c r="LNZ46" s="473"/>
      <c r="LOA46" s="473"/>
      <c r="LOB46" s="473"/>
      <c r="LOC46" s="473"/>
      <c r="LOD46" s="473"/>
      <c r="LOE46" s="473"/>
      <c r="LOF46" s="473"/>
      <c r="LOG46" s="473"/>
      <c r="LOH46" s="473"/>
      <c r="LOI46" s="473"/>
      <c r="LOJ46" s="473"/>
      <c r="LOK46" s="473"/>
      <c r="LOL46" s="473"/>
      <c r="LOM46" s="473"/>
      <c r="LON46" s="473"/>
      <c r="LOO46" s="473"/>
      <c r="LOP46" s="473"/>
      <c r="LOQ46" s="473"/>
      <c r="LOR46" s="473"/>
      <c r="LOS46" s="473"/>
      <c r="LOT46" s="473"/>
      <c r="LOU46" s="473"/>
      <c r="LOV46" s="473"/>
      <c r="LOW46" s="473"/>
      <c r="LOX46" s="473"/>
      <c r="LOY46" s="473"/>
      <c r="LOZ46" s="473"/>
      <c r="LPA46" s="473"/>
      <c r="LPB46" s="473"/>
      <c r="LPC46" s="473"/>
      <c r="LPD46" s="473"/>
      <c r="LPE46" s="473"/>
      <c r="LPF46" s="473"/>
      <c r="LPG46" s="473"/>
      <c r="LPH46" s="473"/>
      <c r="LPI46" s="473"/>
      <c r="LPJ46" s="473"/>
      <c r="LPK46" s="473"/>
      <c r="LPL46" s="473"/>
      <c r="LPM46" s="473"/>
      <c r="LPN46" s="473"/>
      <c r="LPO46" s="473"/>
      <c r="LPP46" s="473"/>
      <c r="LPQ46" s="473"/>
      <c r="LPR46" s="473"/>
      <c r="LPS46" s="473"/>
      <c r="LPT46" s="473"/>
      <c r="LPU46" s="473"/>
      <c r="LPV46" s="473"/>
      <c r="LPW46" s="473"/>
      <c r="LPX46" s="473"/>
      <c r="LPY46" s="473"/>
      <c r="LPZ46" s="473"/>
      <c r="LQA46" s="473"/>
      <c r="LQB46" s="473"/>
      <c r="LQC46" s="473"/>
      <c r="LQD46" s="473"/>
      <c r="LQE46" s="473"/>
      <c r="LQF46" s="473"/>
      <c r="LQG46" s="473"/>
      <c r="LQH46" s="473"/>
      <c r="LQI46" s="473"/>
      <c r="LQJ46" s="473"/>
      <c r="LQK46" s="473"/>
      <c r="LQL46" s="473"/>
      <c r="LQM46" s="473"/>
      <c r="LQN46" s="473"/>
      <c r="LQO46" s="473"/>
      <c r="LQP46" s="473"/>
      <c r="LQQ46" s="473"/>
      <c r="LQR46" s="473"/>
      <c r="LQS46" s="473"/>
      <c r="LQT46" s="473"/>
      <c r="LQU46" s="473"/>
      <c r="LQV46" s="473"/>
      <c r="LQW46" s="473"/>
      <c r="LQX46" s="473"/>
      <c r="LQY46" s="473"/>
      <c r="LQZ46" s="473"/>
      <c r="LRA46" s="473"/>
      <c r="LRB46" s="473"/>
      <c r="LRC46" s="473"/>
      <c r="LRD46" s="473"/>
      <c r="LRE46" s="473"/>
      <c r="LRF46" s="473"/>
      <c r="LRG46" s="473"/>
      <c r="LRH46" s="473"/>
      <c r="LRI46" s="473"/>
      <c r="LRJ46" s="473"/>
      <c r="LRK46" s="473"/>
      <c r="LRL46" s="473"/>
      <c r="LRM46" s="473"/>
      <c r="LRN46" s="473"/>
      <c r="LRO46" s="473"/>
      <c r="LRP46" s="473"/>
      <c r="LRQ46" s="473"/>
      <c r="LRR46" s="473"/>
      <c r="LRS46" s="473"/>
      <c r="LRT46" s="473"/>
      <c r="LRU46" s="473"/>
      <c r="LRV46" s="473"/>
      <c r="LRW46" s="473"/>
      <c r="LRX46" s="473"/>
      <c r="LRY46" s="473"/>
      <c r="LRZ46" s="473"/>
      <c r="LSA46" s="473"/>
      <c r="LSB46" s="473"/>
      <c r="LSC46" s="473"/>
      <c r="LSD46" s="473"/>
      <c r="LSE46" s="473"/>
      <c r="LSF46" s="473"/>
      <c r="LSG46" s="473"/>
      <c r="LSH46" s="473"/>
      <c r="LSI46" s="473"/>
      <c r="LSJ46" s="473"/>
      <c r="LSK46" s="473"/>
      <c r="LSL46" s="473"/>
      <c r="LSM46" s="473"/>
      <c r="LSN46" s="473"/>
      <c r="LSO46" s="473"/>
      <c r="LSP46" s="473"/>
      <c r="LSQ46" s="473"/>
      <c r="LSR46" s="473"/>
      <c r="LSS46" s="473"/>
      <c r="LST46" s="473"/>
      <c r="LSU46" s="473"/>
      <c r="LSV46" s="473"/>
      <c r="LSW46" s="473"/>
      <c r="LSX46" s="473"/>
      <c r="LSY46" s="473"/>
      <c r="LSZ46" s="473"/>
      <c r="LTA46" s="473"/>
      <c r="LTB46" s="473"/>
      <c r="LTC46" s="473"/>
      <c r="LTD46" s="473"/>
      <c r="LTE46" s="473"/>
      <c r="LTF46" s="473"/>
      <c r="LTG46" s="473"/>
      <c r="LTH46" s="473"/>
      <c r="LTI46" s="473"/>
      <c r="LTJ46" s="473"/>
      <c r="LTK46" s="473"/>
      <c r="LTL46" s="473"/>
      <c r="LTM46" s="473"/>
      <c r="LTN46" s="473"/>
      <c r="LTO46" s="473"/>
      <c r="LTP46" s="473"/>
      <c r="LTQ46" s="473"/>
      <c r="LTR46" s="473"/>
      <c r="LTS46" s="473"/>
      <c r="LTT46" s="473"/>
      <c r="LTU46" s="473"/>
      <c r="LTV46" s="473"/>
      <c r="LTW46" s="473"/>
      <c r="LTX46" s="473"/>
      <c r="LTY46" s="473"/>
      <c r="LTZ46" s="473"/>
      <c r="LUA46" s="473"/>
      <c r="LUB46" s="473"/>
      <c r="LUC46" s="473"/>
      <c r="LUD46" s="473"/>
      <c r="LUE46" s="473"/>
      <c r="LUF46" s="473"/>
      <c r="LUG46" s="473"/>
      <c r="LUH46" s="473"/>
      <c r="LUI46" s="473"/>
      <c r="LUJ46" s="473"/>
      <c r="LUK46" s="473"/>
      <c r="LUL46" s="473"/>
      <c r="LUM46" s="473"/>
      <c r="LUN46" s="473"/>
      <c r="LUO46" s="473"/>
      <c r="LUP46" s="473"/>
      <c r="LUQ46" s="473"/>
      <c r="LUR46" s="473"/>
      <c r="LUS46" s="473"/>
      <c r="LUT46" s="473"/>
      <c r="LUU46" s="473"/>
      <c r="LUV46" s="473"/>
      <c r="LUW46" s="473"/>
      <c r="LUX46" s="473"/>
      <c r="LUY46" s="473"/>
      <c r="LUZ46" s="473"/>
      <c r="LVA46" s="473"/>
      <c r="LVB46" s="473"/>
      <c r="LVC46" s="473"/>
      <c r="LVD46" s="473"/>
      <c r="LVE46" s="473"/>
      <c r="LVF46" s="473"/>
      <c r="LVG46" s="473"/>
      <c r="LVH46" s="473"/>
      <c r="LVI46" s="473"/>
      <c r="LVJ46" s="473"/>
      <c r="LVK46" s="473"/>
      <c r="LVL46" s="473"/>
      <c r="LVM46" s="473"/>
      <c r="LVN46" s="473"/>
      <c r="LVO46" s="473"/>
      <c r="LVP46" s="473"/>
      <c r="LVQ46" s="473"/>
      <c r="LVR46" s="473"/>
      <c r="LVS46" s="473"/>
      <c r="LVT46" s="473"/>
      <c r="LVU46" s="473"/>
      <c r="LVV46" s="473"/>
      <c r="LVW46" s="473"/>
      <c r="LVX46" s="473"/>
      <c r="LVY46" s="473"/>
      <c r="LVZ46" s="473"/>
      <c r="LWA46" s="473"/>
      <c r="LWB46" s="473"/>
      <c r="LWC46" s="473"/>
      <c r="LWD46" s="473"/>
      <c r="LWE46" s="473"/>
      <c r="LWF46" s="473"/>
      <c r="LWG46" s="473"/>
      <c r="LWH46" s="473"/>
      <c r="LWI46" s="473"/>
      <c r="LWJ46" s="473"/>
      <c r="LWK46" s="473"/>
      <c r="LWL46" s="473"/>
      <c r="LWM46" s="473"/>
      <c r="LWN46" s="473"/>
      <c r="LWO46" s="473"/>
      <c r="LWP46" s="473"/>
      <c r="LWQ46" s="473"/>
      <c r="LWR46" s="473"/>
      <c r="LWS46" s="473"/>
      <c r="LWT46" s="473"/>
      <c r="LWU46" s="473"/>
      <c r="LWV46" s="473"/>
      <c r="LWW46" s="473"/>
      <c r="LWX46" s="473"/>
      <c r="LWY46" s="473"/>
      <c r="LWZ46" s="473"/>
      <c r="LXA46" s="473"/>
      <c r="LXB46" s="473"/>
      <c r="LXC46" s="473"/>
      <c r="LXD46" s="473"/>
      <c r="LXE46" s="473"/>
      <c r="LXF46" s="473"/>
      <c r="LXG46" s="473"/>
      <c r="LXH46" s="473"/>
      <c r="LXI46" s="473"/>
      <c r="LXJ46" s="473"/>
      <c r="LXK46" s="473"/>
      <c r="LXL46" s="473"/>
      <c r="LXM46" s="473"/>
      <c r="LXN46" s="473"/>
      <c r="LXO46" s="473"/>
      <c r="LXP46" s="473"/>
      <c r="LXQ46" s="473"/>
      <c r="LXR46" s="473"/>
      <c r="LXS46" s="473"/>
      <c r="LXT46" s="473"/>
      <c r="LXU46" s="473"/>
      <c r="LXV46" s="473"/>
      <c r="LXW46" s="473"/>
      <c r="LXX46" s="473"/>
      <c r="LXY46" s="473"/>
      <c r="LXZ46" s="473"/>
      <c r="LYA46" s="473"/>
      <c r="LYB46" s="473"/>
      <c r="LYC46" s="473"/>
      <c r="LYD46" s="473"/>
      <c r="LYE46" s="473"/>
      <c r="LYF46" s="473"/>
      <c r="LYG46" s="473"/>
      <c r="LYH46" s="473"/>
      <c r="LYI46" s="473"/>
      <c r="LYJ46" s="473"/>
      <c r="LYK46" s="473"/>
      <c r="LYL46" s="473"/>
      <c r="LYM46" s="473"/>
      <c r="LYN46" s="473"/>
      <c r="LYO46" s="473"/>
      <c r="LYP46" s="473"/>
      <c r="LYQ46" s="473"/>
      <c r="LYR46" s="473"/>
      <c r="LYS46" s="473"/>
      <c r="LYT46" s="473"/>
      <c r="LYU46" s="473"/>
      <c r="LYV46" s="473"/>
      <c r="LYW46" s="473"/>
      <c r="LYX46" s="473"/>
      <c r="LYY46" s="473"/>
      <c r="LYZ46" s="473"/>
      <c r="LZA46" s="473"/>
      <c r="LZB46" s="473"/>
      <c r="LZC46" s="473"/>
      <c r="LZD46" s="473"/>
      <c r="LZE46" s="473"/>
      <c r="LZF46" s="473"/>
      <c r="LZG46" s="473"/>
      <c r="LZH46" s="473"/>
      <c r="LZI46" s="473"/>
      <c r="LZJ46" s="473"/>
      <c r="LZK46" s="473"/>
      <c r="LZL46" s="473"/>
      <c r="LZM46" s="473"/>
      <c r="LZN46" s="473"/>
      <c r="LZO46" s="473"/>
      <c r="LZP46" s="473"/>
      <c r="LZQ46" s="473"/>
      <c r="LZR46" s="473"/>
      <c r="LZS46" s="473"/>
      <c r="LZT46" s="473"/>
      <c r="LZU46" s="473"/>
      <c r="LZV46" s="473"/>
      <c r="LZW46" s="473"/>
      <c r="LZX46" s="473"/>
      <c r="LZY46" s="473"/>
      <c r="LZZ46" s="473"/>
      <c r="MAA46" s="473"/>
      <c r="MAB46" s="473"/>
      <c r="MAC46" s="473"/>
      <c r="MAD46" s="473"/>
      <c r="MAE46" s="473"/>
      <c r="MAF46" s="473"/>
      <c r="MAG46" s="473"/>
      <c r="MAH46" s="473"/>
      <c r="MAI46" s="473"/>
      <c r="MAJ46" s="473"/>
      <c r="MAK46" s="473"/>
      <c r="MAL46" s="473"/>
      <c r="MAM46" s="473"/>
      <c r="MAN46" s="473"/>
      <c r="MAO46" s="473"/>
      <c r="MAP46" s="473"/>
      <c r="MAQ46" s="473"/>
      <c r="MAR46" s="473"/>
      <c r="MAS46" s="473"/>
      <c r="MAT46" s="473"/>
      <c r="MAU46" s="473"/>
      <c r="MAV46" s="473"/>
      <c r="MAW46" s="473"/>
      <c r="MAX46" s="473"/>
      <c r="MAY46" s="473"/>
      <c r="MAZ46" s="473"/>
      <c r="MBA46" s="473"/>
      <c r="MBB46" s="473"/>
      <c r="MBC46" s="473"/>
      <c r="MBD46" s="473"/>
      <c r="MBE46" s="473"/>
      <c r="MBF46" s="473"/>
      <c r="MBG46" s="473"/>
      <c r="MBH46" s="473"/>
      <c r="MBI46" s="473"/>
      <c r="MBJ46" s="473"/>
      <c r="MBK46" s="473"/>
      <c r="MBL46" s="473"/>
      <c r="MBM46" s="473"/>
      <c r="MBN46" s="473"/>
      <c r="MBO46" s="473"/>
      <c r="MBP46" s="473"/>
      <c r="MBQ46" s="473"/>
      <c r="MBR46" s="473"/>
      <c r="MBS46" s="473"/>
      <c r="MBT46" s="473"/>
      <c r="MBU46" s="473"/>
      <c r="MBV46" s="473"/>
      <c r="MBW46" s="473"/>
      <c r="MBX46" s="473"/>
      <c r="MBY46" s="473"/>
      <c r="MBZ46" s="473"/>
      <c r="MCA46" s="473"/>
      <c r="MCB46" s="473"/>
      <c r="MCC46" s="473"/>
      <c r="MCD46" s="473"/>
      <c r="MCE46" s="473"/>
      <c r="MCF46" s="473"/>
      <c r="MCG46" s="473"/>
      <c r="MCH46" s="473"/>
      <c r="MCI46" s="473"/>
      <c r="MCJ46" s="473"/>
      <c r="MCK46" s="473"/>
      <c r="MCL46" s="473"/>
      <c r="MCM46" s="473"/>
      <c r="MCN46" s="473"/>
      <c r="MCO46" s="473"/>
      <c r="MCP46" s="473"/>
      <c r="MCQ46" s="473"/>
      <c r="MCR46" s="473"/>
      <c r="MCS46" s="473"/>
      <c r="MCT46" s="473"/>
      <c r="MCU46" s="473"/>
      <c r="MCV46" s="473"/>
      <c r="MCW46" s="473"/>
      <c r="MCX46" s="473"/>
      <c r="MCY46" s="473"/>
      <c r="MCZ46" s="473"/>
      <c r="MDA46" s="473"/>
      <c r="MDB46" s="473"/>
      <c r="MDC46" s="473"/>
      <c r="MDD46" s="473"/>
      <c r="MDE46" s="473"/>
      <c r="MDF46" s="473"/>
      <c r="MDG46" s="473"/>
      <c r="MDH46" s="473"/>
      <c r="MDI46" s="473"/>
      <c r="MDJ46" s="473"/>
      <c r="MDK46" s="473"/>
      <c r="MDL46" s="473"/>
      <c r="MDM46" s="473"/>
      <c r="MDN46" s="473"/>
      <c r="MDO46" s="473"/>
      <c r="MDP46" s="473"/>
      <c r="MDQ46" s="473"/>
      <c r="MDR46" s="473"/>
      <c r="MDS46" s="473"/>
      <c r="MDT46" s="473"/>
      <c r="MDU46" s="473"/>
      <c r="MDV46" s="473"/>
      <c r="MDW46" s="473"/>
      <c r="MDX46" s="473"/>
      <c r="MDY46" s="473"/>
      <c r="MDZ46" s="473"/>
      <c r="MEA46" s="473"/>
      <c r="MEB46" s="473"/>
      <c r="MEC46" s="473"/>
      <c r="MED46" s="473"/>
      <c r="MEE46" s="473"/>
      <c r="MEF46" s="473"/>
      <c r="MEG46" s="473"/>
      <c r="MEH46" s="473"/>
      <c r="MEI46" s="473"/>
      <c r="MEJ46" s="473"/>
      <c r="MEK46" s="473"/>
      <c r="MEL46" s="473"/>
      <c r="MEM46" s="473"/>
      <c r="MEN46" s="473"/>
      <c r="MEO46" s="473"/>
      <c r="MEP46" s="473"/>
      <c r="MEQ46" s="473"/>
      <c r="MER46" s="473"/>
      <c r="MES46" s="473"/>
      <c r="MET46" s="473"/>
      <c r="MEU46" s="473"/>
      <c r="MEV46" s="473"/>
      <c r="MEW46" s="473"/>
      <c r="MEX46" s="473"/>
      <c r="MEY46" s="473"/>
      <c r="MEZ46" s="473"/>
      <c r="MFA46" s="473"/>
      <c r="MFB46" s="473"/>
      <c r="MFC46" s="473"/>
      <c r="MFD46" s="473"/>
      <c r="MFE46" s="473"/>
      <c r="MFF46" s="473"/>
      <c r="MFG46" s="473"/>
      <c r="MFH46" s="473"/>
      <c r="MFI46" s="473"/>
      <c r="MFJ46" s="473"/>
      <c r="MFK46" s="473"/>
      <c r="MFL46" s="473"/>
      <c r="MFM46" s="473"/>
      <c r="MFN46" s="473"/>
      <c r="MFO46" s="473"/>
      <c r="MFP46" s="473"/>
      <c r="MFQ46" s="473"/>
      <c r="MFR46" s="473"/>
      <c r="MFS46" s="473"/>
      <c r="MFT46" s="473"/>
      <c r="MFU46" s="473"/>
      <c r="MFV46" s="473"/>
      <c r="MFW46" s="473"/>
      <c r="MFX46" s="473"/>
      <c r="MFY46" s="473"/>
      <c r="MFZ46" s="473"/>
      <c r="MGA46" s="473"/>
      <c r="MGB46" s="473"/>
      <c r="MGC46" s="473"/>
      <c r="MGD46" s="473"/>
      <c r="MGE46" s="473"/>
      <c r="MGF46" s="473"/>
      <c r="MGG46" s="473"/>
      <c r="MGH46" s="473"/>
      <c r="MGI46" s="473"/>
      <c r="MGJ46" s="473"/>
      <c r="MGK46" s="473"/>
      <c r="MGL46" s="473"/>
      <c r="MGM46" s="473"/>
      <c r="MGN46" s="473"/>
      <c r="MGO46" s="473"/>
      <c r="MGP46" s="473"/>
      <c r="MGQ46" s="473"/>
      <c r="MGR46" s="473"/>
      <c r="MGS46" s="473"/>
      <c r="MGT46" s="473"/>
      <c r="MGU46" s="473"/>
      <c r="MGV46" s="473"/>
      <c r="MGW46" s="473"/>
      <c r="MGX46" s="473"/>
      <c r="MGY46" s="473"/>
      <c r="MGZ46" s="473"/>
      <c r="MHA46" s="473"/>
      <c r="MHB46" s="473"/>
      <c r="MHC46" s="473"/>
      <c r="MHD46" s="473"/>
      <c r="MHE46" s="473"/>
      <c r="MHF46" s="473"/>
      <c r="MHG46" s="473"/>
      <c r="MHH46" s="473"/>
      <c r="MHI46" s="473"/>
      <c r="MHJ46" s="473"/>
      <c r="MHK46" s="473"/>
      <c r="MHL46" s="473"/>
      <c r="MHM46" s="473"/>
      <c r="MHN46" s="473"/>
      <c r="MHO46" s="473"/>
      <c r="MHP46" s="473"/>
      <c r="MHQ46" s="473"/>
      <c r="MHR46" s="473"/>
      <c r="MHS46" s="473"/>
      <c r="MHT46" s="473"/>
      <c r="MHU46" s="473"/>
      <c r="MHV46" s="473"/>
      <c r="MHW46" s="473"/>
      <c r="MHX46" s="473"/>
      <c r="MHY46" s="473"/>
      <c r="MHZ46" s="473"/>
      <c r="MIA46" s="473"/>
      <c r="MIB46" s="473"/>
      <c r="MIC46" s="473"/>
      <c r="MID46" s="473"/>
      <c r="MIE46" s="473"/>
      <c r="MIF46" s="473"/>
      <c r="MIG46" s="473"/>
      <c r="MIH46" s="473"/>
      <c r="MII46" s="473"/>
      <c r="MIJ46" s="473"/>
      <c r="MIK46" s="473"/>
      <c r="MIL46" s="473"/>
      <c r="MIM46" s="473"/>
      <c r="MIN46" s="473"/>
      <c r="MIO46" s="473"/>
      <c r="MIP46" s="473"/>
      <c r="MIQ46" s="473"/>
      <c r="MIR46" s="473"/>
      <c r="MIS46" s="473"/>
      <c r="MIT46" s="473"/>
      <c r="MIU46" s="473"/>
      <c r="MIV46" s="473"/>
      <c r="MIW46" s="473"/>
      <c r="MIX46" s="473"/>
      <c r="MIY46" s="473"/>
      <c r="MIZ46" s="473"/>
      <c r="MJA46" s="473"/>
      <c r="MJB46" s="473"/>
      <c r="MJC46" s="473"/>
      <c r="MJD46" s="473"/>
      <c r="MJE46" s="473"/>
      <c r="MJF46" s="473"/>
      <c r="MJG46" s="473"/>
      <c r="MJH46" s="473"/>
      <c r="MJI46" s="473"/>
      <c r="MJJ46" s="473"/>
      <c r="MJK46" s="473"/>
      <c r="MJL46" s="473"/>
      <c r="MJM46" s="473"/>
      <c r="MJN46" s="473"/>
      <c r="MJO46" s="473"/>
      <c r="MJP46" s="473"/>
      <c r="MJQ46" s="473"/>
      <c r="MJR46" s="473"/>
      <c r="MJS46" s="473"/>
      <c r="MJT46" s="473"/>
      <c r="MJU46" s="473"/>
      <c r="MJV46" s="473"/>
      <c r="MJW46" s="473"/>
      <c r="MJX46" s="473"/>
      <c r="MJY46" s="473"/>
      <c r="MJZ46" s="473"/>
      <c r="MKA46" s="473"/>
      <c r="MKB46" s="473"/>
      <c r="MKC46" s="473"/>
      <c r="MKD46" s="473"/>
      <c r="MKE46" s="473"/>
      <c r="MKF46" s="473"/>
      <c r="MKG46" s="473"/>
      <c r="MKH46" s="473"/>
      <c r="MKI46" s="473"/>
      <c r="MKJ46" s="473"/>
      <c r="MKK46" s="473"/>
      <c r="MKL46" s="473"/>
      <c r="MKM46" s="473"/>
      <c r="MKN46" s="473"/>
      <c r="MKO46" s="473"/>
      <c r="MKP46" s="473"/>
      <c r="MKQ46" s="473"/>
      <c r="MKR46" s="473"/>
      <c r="MKS46" s="473"/>
      <c r="MKT46" s="473"/>
      <c r="MKU46" s="473"/>
      <c r="MKV46" s="473"/>
      <c r="MKW46" s="473"/>
      <c r="MKX46" s="473"/>
      <c r="MKY46" s="473"/>
      <c r="MKZ46" s="473"/>
      <c r="MLA46" s="473"/>
      <c r="MLB46" s="473"/>
      <c r="MLC46" s="473"/>
      <c r="MLD46" s="473"/>
      <c r="MLE46" s="473"/>
      <c r="MLF46" s="473"/>
      <c r="MLG46" s="473"/>
      <c r="MLH46" s="473"/>
      <c r="MLI46" s="473"/>
      <c r="MLJ46" s="473"/>
      <c r="MLK46" s="473"/>
      <c r="MLL46" s="473"/>
      <c r="MLM46" s="473"/>
      <c r="MLN46" s="473"/>
      <c r="MLO46" s="473"/>
      <c r="MLP46" s="473"/>
      <c r="MLQ46" s="473"/>
      <c r="MLR46" s="473"/>
      <c r="MLS46" s="473"/>
      <c r="MLT46" s="473"/>
      <c r="MLU46" s="473"/>
      <c r="MLV46" s="473"/>
      <c r="MLW46" s="473"/>
      <c r="MLX46" s="473"/>
      <c r="MLY46" s="473"/>
      <c r="MLZ46" s="473"/>
      <c r="MMA46" s="473"/>
      <c r="MMB46" s="473"/>
      <c r="MMC46" s="473"/>
      <c r="MMD46" s="473"/>
      <c r="MME46" s="473"/>
      <c r="MMF46" s="473"/>
      <c r="MMG46" s="473"/>
      <c r="MMH46" s="473"/>
      <c r="MMI46" s="473"/>
      <c r="MMJ46" s="473"/>
      <c r="MMK46" s="473"/>
      <c r="MML46" s="473"/>
      <c r="MMM46" s="473"/>
      <c r="MMN46" s="473"/>
      <c r="MMO46" s="473"/>
      <c r="MMP46" s="473"/>
      <c r="MMQ46" s="473"/>
      <c r="MMR46" s="473"/>
      <c r="MMS46" s="473"/>
      <c r="MMT46" s="473"/>
      <c r="MMU46" s="473"/>
      <c r="MMV46" s="473"/>
      <c r="MMW46" s="473"/>
      <c r="MMX46" s="473"/>
      <c r="MMY46" s="473"/>
      <c r="MMZ46" s="473"/>
      <c r="MNA46" s="473"/>
      <c r="MNB46" s="473"/>
      <c r="MNC46" s="473"/>
      <c r="MND46" s="473"/>
      <c r="MNE46" s="473"/>
      <c r="MNF46" s="473"/>
      <c r="MNG46" s="473"/>
      <c r="MNH46" s="473"/>
      <c r="MNI46" s="473"/>
      <c r="MNJ46" s="473"/>
      <c r="MNK46" s="473"/>
      <c r="MNL46" s="473"/>
      <c r="MNM46" s="473"/>
      <c r="MNN46" s="473"/>
      <c r="MNO46" s="473"/>
      <c r="MNP46" s="473"/>
      <c r="MNQ46" s="473"/>
      <c r="MNR46" s="473"/>
      <c r="MNS46" s="473"/>
      <c r="MNT46" s="473"/>
      <c r="MNU46" s="473"/>
      <c r="MNV46" s="473"/>
      <c r="MNW46" s="473"/>
      <c r="MNX46" s="473"/>
      <c r="MNY46" s="473"/>
      <c r="MNZ46" s="473"/>
      <c r="MOA46" s="473"/>
      <c r="MOB46" s="473"/>
      <c r="MOC46" s="473"/>
      <c r="MOD46" s="473"/>
      <c r="MOE46" s="473"/>
      <c r="MOF46" s="473"/>
      <c r="MOG46" s="473"/>
      <c r="MOH46" s="473"/>
      <c r="MOI46" s="473"/>
      <c r="MOJ46" s="473"/>
      <c r="MOK46" s="473"/>
      <c r="MOL46" s="473"/>
      <c r="MOM46" s="473"/>
      <c r="MON46" s="473"/>
      <c r="MOO46" s="473"/>
      <c r="MOP46" s="473"/>
      <c r="MOQ46" s="473"/>
      <c r="MOR46" s="473"/>
      <c r="MOS46" s="473"/>
      <c r="MOT46" s="473"/>
      <c r="MOU46" s="473"/>
      <c r="MOV46" s="473"/>
      <c r="MOW46" s="473"/>
      <c r="MOX46" s="473"/>
      <c r="MOY46" s="473"/>
      <c r="MOZ46" s="473"/>
      <c r="MPA46" s="473"/>
      <c r="MPB46" s="473"/>
      <c r="MPC46" s="473"/>
      <c r="MPD46" s="473"/>
      <c r="MPE46" s="473"/>
      <c r="MPF46" s="473"/>
      <c r="MPG46" s="473"/>
      <c r="MPH46" s="473"/>
      <c r="MPI46" s="473"/>
      <c r="MPJ46" s="473"/>
      <c r="MPK46" s="473"/>
      <c r="MPL46" s="473"/>
      <c r="MPM46" s="473"/>
      <c r="MPN46" s="473"/>
      <c r="MPO46" s="473"/>
      <c r="MPP46" s="473"/>
      <c r="MPQ46" s="473"/>
      <c r="MPR46" s="473"/>
      <c r="MPS46" s="473"/>
      <c r="MPT46" s="473"/>
      <c r="MPU46" s="473"/>
      <c r="MPV46" s="473"/>
      <c r="MPW46" s="473"/>
      <c r="MPX46" s="473"/>
      <c r="MPY46" s="473"/>
      <c r="MPZ46" s="473"/>
      <c r="MQA46" s="473"/>
      <c r="MQB46" s="473"/>
      <c r="MQC46" s="473"/>
      <c r="MQD46" s="473"/>
      <c r="MQE46" s="473"/>
      <c r="MQF46" s="473"/>
      <c r="MQG46" s="473"/>
      <c r="MQH46" s="473"/>
      <c r="MQI46" s="473"/>
      <c r="MQJ46" s="473"/>
      <c r="MQK46" s="473"/>
      <c r="MQL46" s="473"/>
      <c r="MQM46" s="473"/>
      <c r="MQN46" s="473"/>
      <c r="MQO46" s="473"/>
      <c r="MQP46" s="473"/>
      <c r="MQQ46" s="473"/>
      <c r="MQR46" s="473"/>
      <c r="MQS46" s="473"/>
      <c r="MQT46" s="473"/>
      <c r="MQU46" s="473"/>
      <c r="MQV46" s="473"/>
      <c r="MQW46" s="473"/>
      <c r="MQX46" s="473"/>
      <c r="MQY46" s="473"/>
      <c r="MQZ46" s="473"/>
      <c r="MRA46" s="473"/>
      <c r="MRB46" s="473"/>
      <c r="MRC46" s="473"/>
      <c r="MRD46" s="473"/>
      <c r="MRE46" s="473"/>
      <c r="MRF46" s="473"/>
      <c r="MRG46" s="473"/>
      <c r="MRH46" s="473"/>
      <c r="MRI46" s="473"/>
      <c r="MRJ46" s="473"/>
      <c r="MRK46" s="473"/>
      <c r="MRL46" s="473"/>
      <c r="MRM46" s="473"/>
      <c r="MRN46" s="473"/>
      <c r="MRO46" s="473"/>
      <c r="MRP46" s="473"/>
      <c r="MRQ46" s="473"/>
      <c r="MRR46" s="473"/>
      <c r="MRS46" s="473"/>
      <c r="MRT46" s="473"/>
      <c r="MRU46" s="473"/>
      <c r="MRV46" s="473"/>
      <c r="MRW46" s="473"/>
      <c r="MRX46" s="473"/>
      <c r="MRY46" s="473"/>
      <c r="MRZ46" s="473"/>
      <c r="MSA46" s="473"/>
      <c r="MSB46" s="473"/>
      <c r="MSC46" s="473"/>
      <c r="MSD46" s="473"/>
      <c r="MSE46" s="473"/>
      <c r="MSF46" s="473"/>
      <c r="MSG46" s="473"/>
      <c r="MSH46" s="473"/>
      <c r="MSI46" s="473"/>
      <c r="MSJ46" s="473"/>
      <c r="MSK46" s="473"/>
      <c r="MSL46" s="473"/>
      <c r="MSM46" s="473"/>
      <c r="MSN46" s="473"/>
      <c r="MSO46" s="473"/>
      <c r="MSP46" s="473"/>
      <c r="MSQ46" s="473"/>
      <c r="MSR46" s="473"/>
      <c r="MSS46" s="473"/>
      <c r="MST46" s="473"/>
      <c r="MSU46" s="473"/>
      <c r="MSV46" s="473"/>
      <c r="MSW46" s="473"/>
      <c r="MSX46" s="473"/>
      <c r="MSY46" s="473"/>
      <c r="MSZ46" s="473"/>
      <c r="MTA46" s="473"/>
      <c r="MTB46" s="473"/>
      <c r="MTC46" s="473"/>
      <c r="MTD46" s="473"/>
      <c r="MTE46" s="473"/>
      <c r="MTF46" s="473"/>
      <c r="MTG46" s="473"/>
      <c r="MTH46" s="473"/>
      <c r="MTI46" s="473"/>
      <c r="MTJ46" s="473"/>
      <c r="MTK46" s="473"/>
      <c r="MTL46" s="473"/>
      <c r="MTM46" s="473"/>
      <c r="MTN46" s="473"/>
      <c r="MTO46" s="473"/>
      <c r="MTP46" s="473"/>
      <c r="MTQ46" s="473"/>
      <c r="MTR46" s="473"/>
      <c r="MTS46" s="473"/>
      <c r="MTT46" s="473"/>
      <c r="MTU46" s="473"/>
      <c r="MTV46" s="473"/>
      <c r="MTW46" s="473"/>
      <c r="MTX46" s="473"/>
      <c r="MTY46" s="473"/>
      <c r="MTZ46" s="473"/>
      <c r="MUA46" s="473"/>
      <c r="MUB46" s="473"/>
      <c r="MUC46" s="473"/>
      <c r="MUD46" s="473"/>
      <c r="MUE46" s="473"/>
      <c r="MUF46" s="473"/>
      <c r="MUG46" s="473"/>
      <c r="MUH46" s="473"/>
      <c r="MUI46" s="473"/>
      <c r="MUJ46" s="473"/>
      <c r="MUK46" s="473"/>
      <c r="MUL46" s="473"/>
      <c r="MUM46" s="473"/>
      <c r="MUN46" s="473"/>
      <c r="MUO46" s="473"/>
      <c r="MUP46" s="473"/>
      <c r="MUQ46" s="473"/>
      <c r="MUR46" s="473"/>
      <c r="MUS46" s="473"/>
      <c r="MUT46" s="473"/>
      <c r="MUU46" s="473"/>
      <c r="MUV46" s="473"/>
      <c r="MUW46" s="473"/>
      <c r="MUX46" s="473"/>
      <c r="MUY46" s="473"/>
      <c r="MUZ46" s="473"/>
      <c r="MVA46" s="473"/>
      <c r="MVB46" s="473"/>
      <c r="MVC46" s="473"/>
      <c r="MVD46" s="473"/>
      <c r="MVE46" s="473"/>
      <c r="MVF46" s="473"/>
      <c r="MVG46" s="473"/>
      <c r="MVH46" s="473"/>
      <c r="MVI46" s="473"/>
      <c r="MVJ46" s="473"/>
      <c r="MVK46" s="473"/>
      <c r="MVL46" s="473"/>
      <c r="MVM46" s="473"/>
      <c r="MVN46" s="473"/>
      <c r="MVO46" s="473"/>
      <c r="MVP46" s="473"/>
      <c r="MVQ46" s="473"/>
      <c r="MVR46" s="473"/>
      <c r="MVS46" s="473"/>
      <c r="MVT46" s="473"/>
      <c r="MVU46" s="473"/>
      <c r="MVV46" s="473"/>
      <c r="MVW46" s="473"/>
      <c r="MVX46" s="473"/>
      <c r="MVY46" s="473"/>
      <c r="MVZ46" s="473"/>
      <c r="MWA46" s="473"/>
      <c r="MWB46" s="473"/>
      <c r="MWC46" s="473"/>
      <c r="MWD46" s="473"/>
      <c r="MWE46" s="473"/>
      <c r="MWF46" s="473"/>
      <c r="MWG46" s="473"/>
      <c r="MWH46" s="473"/>
      <c r="MWI46" s="473"/>
      <c r="MWJ46" s="473"/>
      <c r="MWK46" s="473"/>
      <c r="MWL46" s="473"/>
      <c r="MWM46" s="473"/>
      <c r="MWN46" s="473"/>
      <c r="MWO46" s="473"/>
      <c r="MWP46" s="473"/>
      <c r="MWQ46" s="473"/>
      <c r="MWR46" s="473"/>
      <c r="MWS46" s="473"/>
      <c r="MWT46" s="473"/>
      <c r="MWU46" s="473"/>
      <c r="MWV46" s="473"/>
      <c r="MWW46" s="473"/>
      <c r="MWX46" s="473"/>
      <c r="MWY46" s="473"/>
      <c r="MWZ46" s="473"/>
      <c r="MXA46" s="473"/>
      <c r="MXB46" s="473"/>
      <c r="MXC46" s="473"/>
      <c r="MXD46" s="473"/>
      <c r="MXE46" s="473"/>
      <c r="MXF46" s="473"/>
      <c r="MXG46" s="473"/>
      <c r="MXH46" s="473"/>
      <c r="MXI46" s="473"/>
      <c r="MXJ46" s="473"/>
      <c r="MXK46" s="473"/>
      <c r="MXL46" s="473"/>
      <c r="MXM46" s="473"/>
      <c r="MXN46" s="473"/>
      <c r="MXO46" s="473"/>
      <c r="MXP46" s="473"/>
      <c r="MXQ46" s="473"/>
      <c r="MXR46" s="473"/>
      <c r="MXS46" s="473"/>
      <c r="MXT46" s="473"/>
      <c r="MXU46" s="473"/>
      <c r="MXV46" s="473"/>
      <c r="MXW46" s="473"/>
      <c r="MXX46" s="473"/>
      <c r="MXY46" s="473"/>
      <c r="MXZ46" s="473"/>
      <c r="MYA46" s="473"/>
      <c r="MYB46" s="473"/>
      <c r="MYC46" s="473"/>
      <c r="MYD46" s="473"/>
      <c r="MYE46" s="473"/>
      <c r="MYF46" s="473"/>
      <c r="MYG46" s="473"/>
      <c r="MYH46" s="473"/>
      <c r="MYI46" s="473"/>
      <c r="MYJ46" s="473"/>
      <c r="MYK46" s="473"/>
      <c r="MYL46" s="473"/>
      <c r="MYM46" s="473"/>
      <c r="MYN46" s="473"/>
      <c r="MYO46" s="473"/>
      <c r="MYP46" s="473"/>
      <c r="MYQ46" s="473"/>
      <c r="MYR46" s="473"/>
      <c r="MYS46" s="473"/>
      <c r="MYT46" s="473"/>
      <c r="MYU46" s="473"/>
      <c r="MYV46" s="473"/>
      <c r="MYW46" s="473"/>
      <c r="MYX46" s="473"/>
      <c r="MYY46" s="473"/>
      <c r="MYZ46" s="473"/>
      <c r="MZA46" s="473"/>
      <c r="MZB46" s="473"/>
      <c r="MZC46" s="473"/>
      <c r="MZD46" s="473"/>
      <c r="MZE46" s="473"/>
      <c r="MZF46" s="473"/>
      <c r="MZG46" s="473"/>
      <c r="MZH46" s="473"/>
      <c r="MZI46" s="473"/>
      <c r="MZJ46" s="473"/>
      <c r="MZK46" s="473"/>
      <c r="MZL46" s="473"/>
      <c r="MZM46" s="473"/>
      <c r="MZN46" s="473"/>
      <c r="MZO46" s="473"/>
      <c r="MZP46" s="473"/>
      <c r="MZQ46" s="473"/>
      <c r="MZR46" s="473"/>
      <c r="MZS46" s="473"/>
      <c r="MZT46" s="473"/>
      <c r="MZU46" s="473"/>
      <c r="MZV46" s="473"/>
      <c r="MZW46" s="473"/>
      <c r="MZX46" s="473"/>
      <c r="MZY46" s="473"/>
      <c r="MZZ46" s="473"/>
      <c r="NAA46" s="473"/>
      <c r="NAB46" s="473"/>
      <c r="NAC46" s="473"/>
      <c r="NAD46" s="473"/>
      <c r="NAE46" s="473"/>
      <c r="NAF46" s="473"/>
      <c r="NAG46" s="473"/>
      <c r="NAH46" s="473"/>
      <c r="NAI46" s="473"/>
      <c r="NAJ46" s="473"/>
      <c r="NAK46" s="473"/>
      <c r="NAL46" s="473"/>
      <c r="NAM46" s="473"/>
      <c r="NAN46" s="473"/>
      <c r="NAO46" s="473"/>
      <c r="NAP46" s="473"/>
      <c r="NAQ46" s="473"/>
      <c r="NAR46" s="473"/>
      <c r="NAS46" s="473"/>
      <c r="NAT46" s="473"/>
      <c r="NAU46" s="473"/>
      <c r="NAV46" s="473"/>
      <c r="NAW46" s="473"/>
      <c r="NAX46" s="473"/>
      <c r="NAY46" s="473"/>
      <c r="NAZ46" s="473"/>
      <c r="NBA46" s="473"/>
      <c r="NBB46" s="473"/>
      <c r="NBC46" s="473"/>
      <c r="NBD46" s="473"/>
      <c r="NBE46" s="473"/>
      <c r="NBF46" s="473"/>
      <c r="NBG46" s="473"/>
      <c r="NBH46" s="473"/>
      <c r="NBI46" s="473"/>
      <c r="NBJ46" s="473"/>
      <c r="NBK46" s="473"/>
      <c r="NBL46" s="473"/>
      <c r="NBM46" s="473"/>
      <c r="NBN46" s="473"/>
      <c r="NBO46" s="473"/>
      <c r="NBP46" s="473"/>
      <c r="NBQ46" s="473"/>
      <c r="NBR46" s="473"/>
      <c r="NBS46" s="473"/>
      <c r="NBT46" s="473"/>
      <c r="NBU46" s="473"/>
      <c r="NBV46" s="473"/>
      <c r="NBW46" s="473"/>
      <c r="NBX46" s="473"/>
      <c r="NBY46" s="473"/>
      <c r="NBZ46" s="473"/>
      <c r="NCA46" s="473"/>
      <c r="NCB46" s="473"/>
      <c r="NCC46" s="473"/>
      <c r="NCD46" s="473"/>
      <c r="NCE46" s="473"/>
      <c r="NCF46" s="473"/>
      <c r="NCG46" s="473"/>
      <c r="NCH46" s="473"/>
      <c r="NCI46" s="473"/>
      <c r="NCJ46" s="473"/>
      <c r="NCK46" s="473"/>
      <c r="NCL46" s="473"/>
      <c r="NCM46" s="473"/>
      <c r="NCN46" s="473"/>
      <c r="NCO46" s="473"/>
      <c r="NCP46" s="473"/>
      <c r="NCQ46" s="473"/>
      <c r="NCR46" s="473"/>
      <c r="NCS46" s="473"/>
      <c r="NCT46" s="473"/>
      <c r="NCU46" s="473"/>
      <c r="NCV46" s="473"/>
      <c r="NCW46" s="473"/>
      <c r="NCX46" s="473"/>
      <c r="NCY46" s="473"/>
      <c r="NCZ46" s="473"/>
      <c r="NDA46" s="473"/>
      <c r="NDB46" s="473"/>
      <c r="NDC46" s="473"/>
      <c r="NDD46" s="473"/>
      <c r="NDE46" s="473"/>
      <c r="NDF46" s="473"/>
      <c r="NDG46" s="473"/>
      <c r="NDH46" s="473"/>
      <c r="NDI46" s="473"/>
      <c r="NDJ46" s="473"/>
      <c r="NDK46" s="473"/>
      <c r="NDL46" s="473"/>
      <c r="NDM46" s="473"/>
      <c r="NDN46" s="473"/>
      <c r="NDO46" s="473"/>
      <c r="NDP46" s="473"/>
      <c r="NDQ46" s="473"/>
      <c r="NDR46" s="473"/>
      <c r="NDS46" s="473"/>
      <c r="NDT46" s="473"/>
      <c r="NDU46" s="473"/>
      <c r="NDV46" s="473"/>
      <c r="NDW46" s="473"/>
      <c r="NDX46" s="473"/>
      <c r="NDY46" s="473"/>
      <c r="NDZ46" s="473"/>
      <c r="NEA46" s="473"/>
      <c r="NEB46" s="473"/>
      <c r="NEC46" s="473"/>
      <c r="NED46" s="473"/>
      <c r="NEE46" s="473"/>
      <c r="NEF46" s="473"/>
      <c r="NEG46" s="473"/>
      <c r="NEH46" s="473"/>
      <c r="NEI46" s="473"/>
      <c r="NEJ46" s="473"/>
      <c r="NEK46" s="473"/>
      <c r="NEL46" s="473"/>
      <c r="NEM46" s="473"/>
      <c r="NEN46" s="473"/>
      <c r="NEO46" s="473"/>
      <c r="NEP46" s="473"/>
      <c r="NEQ46" s="473"/>
      <c r="NER46" s="473"/>
      <c r="NES46" s="473"/>
      <c r="NET46" s="473"/>
      <c r="NEU46" s="473"/>
      <c r="NEV46" s="473"/>
      <c r="NEW46" s="473"/>
      <c r="NEX46" s="473"/>
      <c r="NEY46" s="473"/>
      <c r="NEZ46" s="473"/>
      <c r="NFA46" s="473"/>
      <c r="NFB46" s="473"/>
      <c r="NFC46" s="473"/>
      <c r="NFD46" s="473"/>
      <c r="NFE46" s="473"/>
      <c r="NFF46" s="473"/>
      <c r="NFG46" s="473"/>
      <c r="NFH46" s="473"/>
      <c r="NFI46" s="473"/>
      <c r="NFJ46" s="473"/>
      <c r="NFK46" s="473"/>
      <c r="NFL46" s="473"/>
      <c r="NFM46" s="473"/>
      <c r="NFN46" s="473"/>
      <c r="NFO46" s="473"/>
      <c r="NFP46" s="473"/>
      <c r="NFQ46" s="473"/>
      <c r="NFR46" s="473"/>
      <c r="NFS46" s="473"/>
      <c r="NFT46" s="473"/>
      <c r="NFU46" s="473"/>
      <c r="NFV46" s="473"/>
      <c r="NFW46" s="473"/>
      <c r="NFX46" s="473"/>
      <c r="NFY46" s="473"/>
      <c r="NFZ46" s="473"/>
      <c r="NGA46" s="473"/>
      <c r="NGB46" s="473"/>
      <c r="NGC46" s="473"/>
      <c r="NGD46" s="473"/>
      <c r="NGE46" s="473"/>
      <c r="NGF46" s="473"/>
      <c r="NGG46" s="473"/>
      <c r="NGH46" s="473"/>
      <c r="NGI46" s="473"/>
      <c r="NGJ46" s="473"/>
      <c r="NGK46" s="473"/>
      <c r="NGL46" s="473"/>
      <c r="NGM46" s="473"/>
      <c r="NGN46" s="473"/>
      <c r="NGO46" s="473"/>
      <c r="NGP46" s="473"/>
      <c r="NGQ46" s="473"/>
      <c r="NGR46" s="473"/>
      <c r="NGS46" s="473"/>
      <c r="NGT46" s="473"/>
      <c r="NGU46" s="473"/>
      <c r="NGV46" s="473"/>
      <c r="NGW46" s="473"/>
      <c r="NGX46" s="473"/>
      <c r="NGY46" s="473"/>
      <c r="NGZ46" s="473"/>
      <c r="NHA46" s="473"/>
      <c r="NHB46" s="473"/>
      <c r="NHC46" s="473"/>
      <c r="NHD46" s="473"/>
      <c r="NHE46" s="473"/>
      <c r="NHF46" s="473"/>
      <c r="NHG46" s="473"/>
      <c r="NHH46" s="473"/>
      <c r="NHI46" s="473"/>
      <c r="NHJ46" s="473"/>
      <c r="NHK46" s="473"/>
      <c r="NHL46" s="473"/>
      <c r="NHM46" s="473"/>
      <c r="NHN46" s="473"/>
      <c r="NHO46" s="473"/>
      <c r="NHP46" s="473"/>
      <c r="NHQ46" s="473"/>
      <c r="NHR46" s="473"/>
      <c r="NHS46" s="473"/>
      <c r="NHT46" s="473"/>
      <c r="NHU46" s="473"/>
      <c r="NHV46" s="473"/>
      <c r="NHW46" s="473"/>
      <c r="NHX46" s="473"/>
      <c r="NHY46" s="473"/>
      <c r="NHZ46" s="473"/>
      <c r="NIA46" s="473"/>
      <c r="NIB46" s="473"/>
      <c r="NIC46" s="473"/>
      <c r="NID46" s="473"/>
      <c r="NIE46" s="473"/>
      <c r="NIF46" s="473"/>
      <c r="NIG46" s="473"/>
      <c r="NIH46" s="473"/>
      <c r="NII46" s="473"/>
      <c r="NIJ46" s="473"/>
      <c r="NIK46" s="473"/>
      <c r="NIL46" s="473"/>
      <c r="NIM46" s="473"/>
      <c r="NIN46" s="473"/>
      <c r="NIO46" s="473"/>
      <c r="NIP46" s="473"/>
      <c r="NIQ46" s="473"/>
      <c r="NIR46" s="473"/>
      <c r="NIS46" s="473"/>
      <c r="NIT46" s="473"/>
      <c r="NIU46" s="473"/>
      <c r="NIV46" s="473"/>
      <c r="NIW46" s="473"/>
      <c r="NIX46" s="473"/>
      <c r="NIY46" s="473"/>
      <c r="NIZ46" s="473"/>
      <c r="NJA46" s="473"/>
      <c r="NJB46" s="473"/>
      <c r="NJC46" s="473"/>
      <c r="NJD46" s="473"/>
      <c r="NJE46" s="473"/>
      <c r="NJF46" s="473"/>
      <c r="NJG46" s="473"/>
      <c r="NJH46" s="473"/>
      <c r="NJI46" s="473"/>
      <c r="NJJ46" s="473"/>
      <c r="NJK46" s="473"/>
      <c r="NJL46" s="473"/>
      <c r="NJM46" s="473"/>
      <c r="NJN46" s="473"/>
      <c r="NJO46" s="473"/>
      <c r="NJP46" s="473"/>
      <c r="NJQ46" s="473"/>
      <c r="NJR46" s="473"/>
      <c r="NJS46" s="473"/>
      <c r="NJT46" s="473"/>
      <c r="NJU46" s="473"/>
      <c r="NJV46" s="473"/>
      <c r="NJW46" s="473"/>
      <c r="NJX46" s="473"/>
      <c r="NJY46" s="473"/>
      <c r="NJZ46" s="473"/>
      <c r="NKA46" s="473"/>
      <c r="NKB46" s="473"/>
      <c r="NKC46" s="473"/>
      <c r="NKD46" s="473"/>
      <c r="NKE46" s="473"/>
      <c r="NKF46" s="473"/>
      <c r="NKG46" s="473"/>
      <c r="NKH46" s="473"/>
      <c r="NKI46" s="473"/>
      <c r="NKJ46" s="473"/>
      <c r="NKK46" s="473"/>
      <c r="NKL46" s="473"/>
      <c r="NKM46" s="473"/>
      <c r="NKN46" s="473"/>
      <c r="NKO46" s="473"/>
      <c r="NKP46" s="473"/>
      <c r="NKQ46" s="473"/>
      <c r="NKR46" s="473"/>
      <c r="NKS46" s="473"/>
      <c r="NKT46" s="473"/>
      <c r="NKU46" s="473"/>
      <c r="NKV46" s="473"/>
      <c r="NKW46" s="473"/>
      <c r="NKX46" s="473"/>
      <c r="NKY46" s="473"/>
      <c r="NKZ46" s="473"/>
      <c r="NLA46" s="473"/>
      <c r="NLB46" s="473"/>
      <c r="NLC46" s="473"/>
      <c r="NLD46" s="473"/>
      <c r="NLE46" s="473"/>
      <c r="NLF46" s="473"/>
      <c r="NLG46" s="473"/>
      <c r="NLH46" s="473"/>
      <c r="NLI46" s="473"/>
      <c r="NLJ46" s="473"/>
      <c r="NLK46" s="473"/>
      <c r="NLL46" s="473"/>
      <c r="NLM46" s="473"/>
      <c r="NLN46" s="473"/>
      <c r="NLO46" s="473"/>
      <c r="NLP46" s="473"/>
      <c r="NLQ46" s="473"/>
      <c r="NLR46" s="473"/>
      <c r="NLS46" s="473"/>
      <c r="NLT46" s="473"/>
      <c r="NLU46" s="473"/>
      <c r="NLV46" s="473"/>
      <c r="NLW46" s="473"/>
      <c r="NLX46" s="473"/>
      <c r="NLY46" s="473"/>
      <c r="NLZ46" s="473"/>
      <c r="NMA46" s="473"/>
      <c r="NMB46" s="473"/>
      <c r="NMC46" s="473"/>
      <c r="NMD46" s="473"/>
      <c r="NME46" s="473"/>
      <c r="NMF46" s="473"/>
      <c r="NMG46" s="473"/>
      <c r="NMH46" s="473"/>
      <c r="NMI46" s="473"/>
      <c r="NMJ46" s="473"/>
      <c r="NMK46" s="473"/>
      <c r="NML46" s="473"/>
      <c r="NMM46" s="473"/>
      <c r="NMN46" s="473"/>
      <c r="NMO46" s="473"/>
      <c r="NMP46" s="473"/>
      <c r="NMQ46" s="473"/>
      <c r="NMR46" s="473"/>
      <c r="NMS46" s="473"/>
      <c r="NMT46" s="473"/>
      <c r="NMU46" s="473"/>
      <c r="NMV46" s="473"/>
      <c r="NMW46" s="473"/>
      <c r="NMX46" s="473"/>
      <c r="NMY46" s="473"/>
      <c r="NMZ46" s="473"/>
      <c r="NNA46" s="473"/>
      <c r="NNB46" s="473"/>
      <c r="NNC46" s="473"/>
      <c r="NND46" s="473"/>
      <c r="NNE46" s="473"/>
      <c r="NNF46" s="473"/>
      <c r="NNG46" s="473"/>
      <c r="NNH46" s="473"/>
      <c r="NNI46" s="473"/>
      <c r="NNJ46" s="473"/>
      <c r="NNK46" s="473"/>
      <c r="NNL46" s="473"/>
      <c r="NNM46" s="473"/>
      <c r="NNN46" s="473"/>
      <c r="NNO46" s="473"/>
      <c r="NNP46" s="473"/>
      <c r="NNQ46" s="473"/>
      <c r="NNR46" s="473"/>
      <c r="NNS46" s="473"/>
      <c r="NNT46" s="473"/>
      <c r="NNU46" s="473"/>
      <c r="NNV46" s="473"/>
      <c r="NNW46" s="473"/>
      <c r="NNX46" s="473"/>
      <c r="NNY46" s="473"/>
      <c r="NNZ46" s="473"/>
      <c r="NOA46" s="473"/>
      <c r="NOB46" s="473"/>
      <c r="NOC46" s="473"/>
      <c r="NOD46" s="473"/>
      <c r="NOE46" s="473"/>
      <c r="NOF46" s="473"/>
      <c r="NOG46" s="473"/>
      <c r="NOH46" s="473"/>
      <c r="NOI46" s="473"/>
      <c r="NOJ46" s="473"/>
      <c r="NOK46" s="473"/>
      <c r="NOL46" s="473"/>
      <c r="NOM46" s="473"/>
      <c r="NON46" s="473"/>
      <c r="NOO46" s="473"/>
      <c r="NOP46" s="473"/>
      <c r="NOQ46" s="473"/>
      <c r="NOR46" s="473"/>
      <c r="NOS46" s="473"/>
      <c r="NOT46" s="473"/>
      <c r="NOU46" s="473"/>
      <c r="NOV46" s="473"/>
      <c r="NOW46" s="473"/>
      <c r="NOX46" s="473"/>
      <c r="NOY46" s="473"/>
      <c r="NOZ46" s="473"/>
      <c r="NPA46" s="473"/>
      <c r="NPB46" s="473"/>
      <c r="NPC46" s="473"/>
      <c r="NPD46" s="473"/>
      <c r="NPE46" s="473"/>
      <c r="NPF46" s="473"/>
      <c r="NPG46" s="473"/>
      <c r="NPH46" s="473"/>
      <c r="NPI46" s="473"/>
      <c r="NPJ46" s="473"/>
      <c r="NPK46" s="473"/>
      <c r="NPL46" s="473"/>
      <c r="NPM46" s="473"/>
      <c r="NPN46" s="473"/>
      <c r="NPO46" s="473"/>
      <c r="NPP46" s="473"/>
      <c r="NPQ46" s="473"/>
      <c r="NPR46" s="473"/>
      <c r="NPS46" s="473"/>
      <c r="NPT46" s="473"/>
      <c r="NPU46" s="473"/>
      <c r="NPV46" s="473"/>
      <c r="NPW46" s="473"/>
      <c r="NPX46" s="473"/>
      <c r="NPY46" s="473"/>
      <c r="NPZ46" s="473"/>
      <c r="NQA46" s="473"/>
      <c r="NQB46" s="473"/>
      <c r="NQC46" s="473"/>
      <c r="NQD46" s="473"/>
      <c r="NQE46" s="473"/>
      <c r="NQF46" s="473"/>
      <c r="NQG46" s="473"/>
      <c r="NQH46" s="473"/>
      <c r="NQI46" s="473"/>
      <c r="NQJ46" s="473"/>
      <c r="NQK46" s="473"/>
      <c r="NQL46" s="473"/>
      <c r="NQM46" s="473"/>
      <c r="NQN46" s="473"/>
      <c r="NQO46" s="473"/>
      <c r="NQP46" s="473"/>
      <c r="NQQ46" s="473"/>
      <c r="NQR46" s="473"/>
      <c r="NQS46" s="473"/>
      <c r="NQT46" s="473"/>
      <c r="NQU46" s="473"/>
      <c r="NQV46" s="473"/>
      <c r="NQW46" s="473"/>
      <c r="NQX46" s="473"/>
      <c r="NQY46" s="473"/>
      <c r="NQZ46" s="473"/>
      <c r="NRA46" s="473"/>
      <c r="NRB46" s="473"/>
      <c r="NRC46" s="473"/>
      <c r="NRD46" s="473"/>
      <c r="NRE46" s="473"/>
      <c r="NRF46" s="473"/>
      <c r="NRG46" s="473"/>
      <c r="NRH46" s="473"/>
      <c r="NRI46" s="473"/>
      <c r="NRJ46" s="473"/>
      <c r="NRK46" s="473"/>
      <c r="NRL46" s="473"/>
      <c r="NRM46" s="473"/>
      <c r="NRN46" s="473"/>
      <c r="NRO46" s="473"/>
      <c r="NRP46" s="473"/>
      <c r="NRQ46" s="473"/>
      <c r="NRR46" s="473"/>
      <c r="NRS46" s="473"/>
      <c r="NRT46" s="473"/>
      <c r="NRU46" s="473"/>
      <c r="NRV46" s="473"/>
      <c r="NRW46" s="473"/>
      <c r="NRX46" s="473"/>
      <c r="NRY46" s="473"/>
      <c r="NRZ46" s="473"/>
      <c r="NSA46" s="473"/>
      <c r="NSB46" s="473"/>
      <c r="NSC46" s="473"/>
      <c r="NSD46" s="473"/>
      <c r="NSE46" s="473"/>
      <c r="NSF46" s="473"/>
      <c r="NSG46" s="473"/>
      <c r="NSH46" s="473"/>
      <c r="NSI46" s="473"/>
      <c r="NSJ46" s="473"/>
      <c r="NSK46" s="473"/>
      <c r="NSL46" s="473"/>
      <c r="NSM46" s="473"/>
      <c r="NSN46" s="473"/>
      <c r="NSO46" s="473"/>
      <c r="NSP46" s="473"/>
      <c r="NSQ46" s="473"/>
      <c r="NSR46" s="473"/>
      <c r="NSS46" s="473"/>
      <c r="NST46" s="473"/>
      <c r="NSU46" s="473"/>
      <c r="NSV46" s="473"/>
      <c r="NSW46" s="473"/>
      <c r="NSX46" s="473"/>
      <c r="NSY46" s="473"/>
      <c r="NSZ46" s="473"/>
      <c r="NTA46" s="473"/>
      <c r="NTB46" s="473"/>
      <c r="NTC46" s="473"/>
      <c r="NTD46" s="473"/>
      <c r="NTE46" s="473"/>
      <c r="NTF46" s="473"/>
      <c r="NTG46" s="473"/>
      <c r="NTH46" s="473"/>
      <c r="NTI46" s="473"/>
      <c r="NTJ46" s="473"/>
      <c r="NTK46" s="473"/>
      <c r="NTL46" s="473"/>
      <c r="NTM46" s="473"/>
      <c r="NTN46" s="473"/>
      <c r="NTO46" s="473"/>
      <c r="NTP46" s="473"/>
      <c r="NTQ46" s="473"/>
      <c r="NTR46" s="473"/>
      <c r="NTS46" s="473"/>
      <c r="NTT46" s="473"/>
      <c r="NTU46" s="473"/>
      <c r="NTV46" s="473"/>
      <c r="NTW46" s="473"/>
      <c r="NTX46" s="473"/>
      <c r="NTY46" s="473"/>
      <c r="NTZ46" s="473"/>
      <c r="NUA46" s="473"/>
      <c r="NUB46" s="473"/>
      <c r="NUC46" s="473"/>
      <c r="NUD46" s="473"/>
      <c r="NUE46" s="473"/>
      <c r="NUF46" s="473"/>
      <c r="NUG46" s="473"/>
      <c r="NUH46" s="473"/>
      <c r="NUI46" s="473"/>
      <c r="NUJ46" s="473"/>
      <c r="NUK46" s="473"/>
      <c r="NUL46" s="473"/>
      <c r="NUM46" s="473"/>
      <c r="NUN46" s="473"/>
      <c r="NUO46" s="473"/>
      <c r="NUP46" s="473"/>
      <c r="NUQ46" s="473"/>
      <c r="NUR46" s="473"/>
      <c r="NUS46" s="473"/>
      <c r="NUT46" s="473"/>
      <c r="NUU46" s="473"/>
      <c r="NUV46" s="473"/>
      <c r="NUW46" s="473"/>
      <c r="NUX46" s="473"/>
      <c r="NUY46" s="473"/>
      <c r="NUZ46" s="473"/>
      <c r="NVA46" s="473"/>
      <c r="NVB46" s="473"/>
      <c r="NVC46" s="473"/>
      <c r="NVD46" s="473"/>
      <c r="NVE46" s="473"/>
      <c r="NVF46" s="473"/>
      <c r="NVG46" s="473"/>
      <c r="NVH46" s="473"/>
      <c r="NVI46" s="473"/>
      <c r="NVJ46" s="473"/>
      <c r="NVK46" s="473"/>
      <c r="NVL46" s="473"/>
      <c r="NVM46" s="473"/>
      <c r="NVN46" s="473"/>
      <c r="NVO46" s="473"/>
      <c r="NVP46" s="473"/>
      <c r="NVQ46" s="473"/>
      <c r="NVR46" s="473"/>
      <c r="NVS46" s="473"/>
      <c r="NVT46" s="473"/>
      <c r="NVU46" s="473"/>
      <c r="NVV46" s="473"/>
      <c r="NVW46" s="473"/>
      <c r="NVX46" s="473"/>
      <c r="NVY46" s="473"/>
      <c r="NVZ46" s="473"/>
      <c r="NWA46" s="473"/>
      <c r="NWB46" s="473"/>
      <c r="NWC46" s="473"/>
      <c r="NWD46" s="473"/>
      <c r="NWE46" s="473"/>
      <c r="NWF46" s="473"/>
      <c r="NWG46" s="473"/>
      <c r="NWH46" s="473"/>
      <c r="NWI46" s="473"/>
      <c r="NWJ46" s="473"/>
      <c r="NWK46" s="473"/>
      <c r="NWL46" s="473"/>
      <c r="NWM46" s="473"/>
      <c r="NWN46" s="473"/>
      <c r="NWO46" s="473"/>
      <c r="NWP46" s="473"/>
      <c r="NWQ46" s="473"/>
      <c r="NWR46" s="473"/>
      <c r="NWS46" s="473"/>
      <c r="NWT46" s="473"/>
      <c r="NWU46" s="473"/>
      <c r="NWV46" s="473"/>
      <c r="NWW46" s="473"/>
      <c r="NWX46" s="473"/>
      <c r="NWY46" s="473"/>
      <c r="NWZ46" s="473"/>
      <c r="NXA46" s="473"/>
      <c r="NXB46" s="473"/>
      <c r="NXC46" s="473"/>
      <c r="NXD46" s="473"/>
      <c r="NXE46" s="473"/>
      <c r="NXF46" s="473"/>
      <c r="NXG46" s="473"/>
      <c r="NXH46" s="473"/>
      <c r="NXI46" s="473"/>
      <c r="NXJ46" s="473"/>
      <c r="NXK46" s="473"/>
      <c r="NXL46" s="473"/>
      <c r="NXM46" s="473"/>
      <c r="NXN46" s="473"/>
      <c r="NXO46" s="473"/>
      <c r="NXP46" s="473"/>
      <c r="NXQ46" s="473"/>
      <c r="NXR46" s="473"/>
      <c r="NXS46" s="473"/>
      <c r="NXT46" s="473"/>
      <c r="NXU46" s="473"/>
      <c r="NXV46" s="473"/>
      <c r="NXW46" s="473"/>
      <c r="NXX46" s="473"/>
      <c r="NXY46" s="473"/>
      <c r="NXZ46" s="473"/>
      <c r="NYA46" s="473"/>
      <c r="NYB46" s="473"/>
      <c r="NYC46" s="473"/>
      <c r="NYD46" s="473"/>
      <c r="NYE46" s="473"/>
      <c r="NYF46" s="473"/>
      <c r="NYG46" s="473"/>
      <c r="NYH46" s="473"/>
      <c r="NYI46" s="473"/>
      <c r="NYJ46" s="473"/>
      <c r="NYK46" s="473"/>
      <c r="NYL46" s="473"/>
      <c r="NYM46" s="473"/>
      <c r="NYN46" s="473"/>
      <c r="NYO46" s="473"/>
      <c r="NYP46" s="473"/>
      <c r="NYQ46" s="473"/>
      <c r="NYR46" s="473"/>
      <c r="NYS46" s="473"/>
      <c r="NYT46" s="473"/>
      <c r="NYU46" s="473"/>
      <c r="NYV46" s="473"/>
      <c r="NYW46" s="473"/>
      <c r="NYX46" s="473"/>
      <c r="NYY46" s="473"/>
      <c r="NYZ46" s="473"/>
      <c r="NZA46" s="473"/>
      <c r="NZB46" s="473"/>
      <c r="NZC46" s="473"/>
      <c r="NZD46" s="473"/>
      <c r="NZE46" s="473"/>
      <c r="NZF46" s="473"/>
      <c r="NZG46" s="473"/>
      <c r="NZH46" s="473"/>
      <c r="NZI46" s="473"/>
      <c r="NZJ46" s="473"/>
      <c r="NZK46" s="473"/>
      <c r="NZL46" s="473"/>
      <c r="NZM46" s="473"/>
      <c r="NZN46" s="473"/>
      <c r="NZO46" s="473"/>
      <c r="NZP46" s="473"/>
      <c r="NZQ46" s="473"/>
      <c r="NZR46" s="473"/>
      <c r="NZS46" s="473"/>
      <c r="NZT46" s="473"/>
      <c r="NZU46" s="473"/>
      <c r="NZV46" s="473"/>
      <c r="NZW46" s="473"/>
      <c r="NZX46" s="473"/>
      <c r="NZY46" s="473"/>
      <c r="NZZ46" s="473"/>
      <c r="OAA46" s="473"/>
      <c r="OAB46" s="473"/>
      <c r="OAC46" s="473"/>
      <c r="OAD46" s="473"/>
      <c r="OAE46" s="473"/>
      <c r="OAF46" s="473"/>
      <c r="OAG46" s="473"/>
      <c r="OAH46" s="473"/>
      <c r="OAI46" s="473"/>
      <c r="OAJ46" s="473"/>
      <c r="OAK46" s="473"/>
      <c r="OAL46" s="473"/>
      <c r="OAM46" s="473"/>
      <c r="OAN46" s="473"/>
      <c r="OAO46" s="473"/>
      <c r="OAP46" s="473"/>
      <c r="OAQ46" s="473"/>
      <c r="OAR46" s="473"/>
      <c r="OAS46" s="473"/>
      <c r="OAT46" s="473"/>
      <c r="OAU46" s="473"/>
      <c r="OAV46" s="473"/>
      <c r="OAW46" s="473"/>
      <c r="OAX46" s="473"/>
      <c r="OAY46" s="473"/>
      <c r="OAZ46" s="473"/>
      <c r="OBA46" s="473"/>
      <c r="OBB46" s="473"/>
      <c r="OBC46" s="473"/>
      <c r="OBD46" s="473"/>
      <c r="OBE46" s="473"/>
      <c r="OBF46" s="473"/>
      <c r="OBG46" s="473"/>
      <c r="OBH46" s="473"/>
      <c r="OBI46" s="473"/>
      <c r="OBJ46" s="473"/>
      <c r="OBK46" s="473"/>
      <c r="OBL46" s="473"/>
      <c r="OBM46" s="473"/>
      <c r="OBN46" s="473"/>
      <c r="OBO46" s="473"/>
      <c r="OBP46" s="473"/>
      <c r="OBQ46" s="473"/>
      <c r="OBR46" s="473"/>
      <c r="OBS46" s="473"/>
      <c r="OBT46" s="473"/>
      <c r="OBU46" s="473"/>
      <c r="OBV46" s="473"/>
      <c r="OBW46" s="473"/>
      <c r="OBX46" s="473"/>
      <c r="OBY46" s="473"/>
      <c r="OBZ46" s="473"/>
      <c r="OCA46" s="473"/>
      <c r="OCB46" s="473"/>
      <c r="OCC46" s="473"/>
      <c r="OCD46" s="473"/>
      <c r="OCE46" s="473"/>
      <c r="OCF46" s="473"/>
      <c r="OCG46" s="473"/>
      <c r="OCH46" s="473"/>
      <c r="OCI46" s="473"/>
      <c r="OCJ46" s="473"/>
      <c r="OCK46" s="473"/>
      <c r="OCL46" s="473"/>
      <c r="OCM46" s="473"/>
      <c r="OCN46" s="473"/>
      <c r="OCO46" s="473"/>
      <c r="OCP46" s="473"/>
      <c r="OCQ46" s="473"/>
      <c r="OCR46" s="473"/>
      <c r="OCS46" s="473"/>
      <c r="OCT46" s="473"/>
      <c r="OCU46" s="473"/>
      <c r="OCV46" s="473"/>
      <c r="OCW46" s="473"/>
      <c r="OCX46" s="473"/>
      <c r="OCY46" s="473"/>
      <c r="OCZ46" s="473"/>
      <c r="ODA46" s="473"/>
      <c r="ODB46" s="473"/>
      <c r="ODC46" s="473"/>
      <c r="ODD46" s="473"/>
      <c r="ODE46" s="473"/>
      <c r="ODF46" s="473"/>
      <c r="ODG46" s="473"/>
      <c r="ODH46" s="473"/>
      <c r="ODI46" s="473"/>
      <c r="ODJ46" s="473"/>
      <c r="ODK46" s="473"/>
      <c r="ODL46" s="473"/>
      <c r="ODM46" s="473"/>
      <c r="ODN46" s="473"/>
      <c r="ODO46" s="473"/>
      <c r="ODP46" s="473"/>
      <c r="ODQ46" s="473"/>
      <c r="ODR46" s="473"/>
      <c r="ODS46" s="473"/>
      <c r="ODT46" s="473"/>
      <c r="ODU46" s="473"/>
      <c r="ODV46" s="473"/>
      <c r="ODW46" s="473"/>
      <c r="ODX46" s="473"/>
      <c r="ODY46" s="473"/>
      <c r="ODZ46" s="473"/>
      <c r="OEA46" s="473"/>
      <c r="OEB46" s="473"/>
      <c r="OEC46" s="473"/>
      <c r="OED46" s="473"/>
      <c r="OEE46" s="473"/>
      <c r="OEF46" s="473"/>
      <c r="OEG46" s="473"/>
      <c r="OEH46" s="473"/>
      <c r="OEI46" s="473"/>
      <c r="OEJ46" s="473"/>
      <c r="OEK46" s="473"/>
      <c r="OEL46" s="473"/>
      <c r="OEM46" s="473"/>
      <c r="OEN46" s="473"/>
      <c r="OEO46" s="473"/>
      <c r="OEP46" s="473"/>
      <c r="OEQ46" s="473"/>
      <c r="OER46" s="473"/>
      <c r="OES46" s="473"/>
      <c r="OET46" s="473"/>
      <c r="OEU46" s="473"/>
      <c r="OEV46" s="473"/>
      <c r="OEW46" s="473"/>
      <c r="OEX46" s="473"/>
      <c r="OEY46" s="473"/>
      <c r="OEZ46" s="473"/>
      <c r="OFA46" s="473"/>
      <c r="OFB46" s="473"/>
      <c r="OFC46" s="473"/>
      <c r="OFD46" s="473"/>
      <c r="OFE46" s="473"/>
      <c r="OFF46" s="473"/>
      <c r="OFG46" s="473"/>
      <c r="OFH46" s="473"/>
      <c r="OFI46" s="473"/>
      <c r="OFJ46" s="473"/>
      <c r="OFK46" s="473"/>
      <c r="OFL46" s="473"/>
      <c r="OFM46" s="473"/>
      <c r="OFN46" s="473"/>
      <c r="OFO46" s="473"/>
      <c r="OFP46" s="473"/>
      <c r="OFQ46" s="473"/>
      <c r="OFR46" s="473"/>
      <c r="OFS46" s="473"/>
      <c r="OFT46" s="473"/>
      <c r="OFU46" s="473"/>
      <c r="OFV46" s="473"/>
      <c r="OFW46" s="473"/>
      <c r="OFX46" s="473"/>
      <c r="OFY46" s="473"/>
      <c r="OFZ46" s="473"/>
      <c r="OGA46" s="473"/>
      <c r="OGB46" s="473"/>
      <c r="OGC46" s="473"/>
      <c r="OGD46" s="473"/>
      <c r="OGE46" s="473"/>
      <c r="OGF46" s="473"/>
      <c r="OGG46" s="473"/>
      <c r="OGH46" s="473"/>
      <c r="OGI46" s="473"/>
      <c r="OGJ46" s="473"/>
      <c r="OGK46" s="473"/>
      <c r="OGL46" s="473"/>
      <c r="OGM46" s="473"/>
      <c r="OGN46" s="473"/>
      <c r="OGO46" s="473"/>
      <c r="OGP46" s="473"/>
      <c r="OGQ46" s="473"/>
      <c r="OGR46" s="473"/>
      <c r="OGS46" s="473"/>
      <c r="OGT46" s="473"/>
      <c r="OGU46" s="473"/>
      <c r="OGV46" s="473"/>
      <c r="OGW46" s="473"/>
      <c r="OGX46" s="473"/>
      <c r="OGY46" s="473"/>
      <c r="OGZ46" s="473"/>
      <c r="OHA46" s="473"/>
      <c r="OHB46" s="473"/>
      <c r="OHC46" s="473"/>
      <c r="OHD46" s="473"/>
      <c r="OHE46" s="473"/>
      <c r="OHF46" s="473"/>
      <c r="OHG46" s="473"/>
      <c r="OHH46" s="473"/>
      <c r="OHI46" s="473"/>
      <c r="OHJ46" s="473"/>
      <c r="OHK46" s="473"/>
      <c r="OHL46" s="473"/>
      <c r="OHM46" s="473"/>
      <c r="OHN46" s="473"/>
      <c r="OHO46" s="473"/>
      <c r="OHP46" s="473"/>
      <c r="OHQ46" s="473"/>
      <c r="OHR46" s="473"/>
      <c r="OHS46" s="473"/>
      <c r="OHT46" s="473"/>
      <c r="OHU46" s="473"/>
      <c r="OHV46" s="473"/>
      <c r="OHW46" s="473"/>
      <c r="OHX46" s="473"/>
      <c r="OHY46" s="473"/>
      <c r="OHZ46" s="473"/>
      <c r="OIA46" s="473"/>
      <c r="OIB46" s="473"/>
      <c r="OIC46" s="473"/>
      <c r="OID46" s="473"/>
      <c r="OIE46" s="473"/>
      <c r="OIF46" s="473"/>
      <c r="OIG46" s="473"/>
      <c r="OIH46" s="473"/>
      <c r="OII46" s="473"/>
      <c r="OIJ46" s="473"/>
      <c r="OIK46" s="473"/>
      <c r="OIL46" s="473"/>
      <c r="OIM46" s="473"/>
      <c r="OIN46" s="473"/>
      <c r="OIO46" s="473"/>
      <c r="OIP46" s="473"/>
      <c r="OIQ46" s="473"/>
      <c r="OIR46" s="473"/>
      <c r="OIS46" s="473"/>
      <c r="OIT46" s="473"/>
      <c r="OIU46" s="473"/>
      <c r="OIV46" s="473"/>
      <c r="OIW46" s="473"/>
      <c r="OIX46" s="473"/>
      <c r="OIY46" s="473"/>
      <c r="OIZ46" s="473"/>
      <c r="OJA46" s="473"/>
      <c r="OJB46" s="473"/>
      <c r="OJC46" s="473"/>
      <c r="OJD46" s="473"/>
      <c r="OJE46" s="473"/>
      <c r="OJF46" s="473"/>
      <c r="OJG46" s="473"/>
      <c r="OJH46" s="473"/>
      <c r="OJI46" s="473"/>
      <c r="OJJ46" s="473"/>
      <c r="OJK46" s="473"/>
      <c r="OJL46" s="473"/>
      <c r="OJM46" s="473"/>
      <c r="OJN46" s="473"/>
      <c r="OJO46" s="473"/>
      <c r="OJP46" s="473"/>
      <c r="OJQ46" s="473"/>
      <c r="OJR46" s="473"/>
      <c r="OJS46" s="473"/>
      <c r="OJT46" s="473"/>
      <c r="OJU46" s="473"/>
      <c r="OJV46" s="473"/>
      <c r="OJW46" s="473"/>
      <c r="OJX46" s="473"/>
      <c r="OJY46" s="473"/>
      <c r="OJZ46" s="473"/>
      <c r="OKA46" s="473"/>
      <c r="OKB46" s="473"/>
      <c r="OKC46" s="473"/>
      <c r="OKD46" s="473"/>
      <c r="OKE46" s="473"/>
      <c r="OKF46" s="473"/>
      <c r="OKG46" s="473"/>
      <c r="OKH46" s="473"/>
      <c r="OKI46" s="473"/>
      <c r="OKJ46" s="473"/>
      <c r="OKK46" s="473"/>
      <c r="OKL46" s="473"/>
      <c r="OKM46" s="473"/>
      <c r="OKN46" s="473"/>
      <c r="OKO46" s="473"/>
      <c r="OKP46" s="473"/>
      <c r="OKQ46" s="473"/>
      <c r="OKR46" s="473"/>
      <c r="OKS46" s="473"/>
      <c r="OKT46" s="473"/>
      <c r="OKU46" s="473"/>
      <c r="OKV46" s="473"/>
      <c r="OKW46" s="473"/>
      <c r="OKX46" s="473"/>
      <c r="OKY46" s="473"/>
      <c r="OKZ46" s="473"/>
      <c r="OLA46" s="473"/>
      <c r="OLB46" s="473"/>
      <c r="OLC46" s="473"/>
      <c r="OLD46" s="473"/>
      <c r="OLE46" s="473"/>
      <c r="OLF46" s="473"/>
      <c r="OLG46" s="473"/>
      <c r="OLH46" s="473"/>
      <c r="OLI46" s="473"/>
      <c r="OLJ46" s="473"/>
      <c r="OLK46" s="473"/>
      <c r="OLL46" s="473"/>
      <c r="OLM46" s="473"/>
      <c r="OLN46" s="473"/>
      <c r="OLO46" s="473"/>
      <c r="OLP46" s="473"/>
      <c r="OLQ46" s="473"/>
      <c r="OLR46" s="473"/>
      <c r="OLS46" s="473"/>
      <c r="OLT46" s="473"/>
      <c r="OLU46" s="473"/>
      <c r="OLV46" s="473"/>
      <c r="OLW46" s="473"/>
      <c r="OLX46" s="473"/>
      <c r="OLY46" s="473"/>
      <c r="OLZ46" s="473"/>
      <c r="OMA46" s="473"/>
      <c r="OMB46" s="473"/>
      <c r="OMC46" s="473"/>
      <c r="OMD46" s="473"/>
      <c r="OME46" s="473"/>
      <c r="OMF46" s="473"/>
      <c r="OMG46" s="473"/>
      <c r="OMH46" s="473"/>
      <c r="OMI46" s="473"/>
      <c r="OMJ46" s="473"/>
      <c r="OMK46" s="473"/>
      <c r="OML46" s="473"/>
      <c r="OMM46" s="473"/>
      <c r="OMN46" s="473"/>
      <c r="OMO46" s="473"/>
      <c r="OMP46" s="473"/>
      <c r="OMQ46" s="473"/>
      <c r="OMR46" s="473"/>
      <c r="OMS46" s="473"/>
      <c r="OMT46" s="473"/>
      <c r="OMU46" s="473"/>
      <c r="OMV46" s="473"/>
      <c r="OMW46" s="473"/>
      <c r="OMX46" s="473"/>
      <c r="OMY46" s="473"/>
      <c r="OMZ46" s="473"/>
      <c r="ONA46" s="473"/>
      <c r="ONB46" s="473"/>
      <c r="ONC46" s="473"/>
      <c r="OND46" s="473"/>
      <c r="ONE46" s="473"/>
      <c r="ONF46" s="473"/>
      <c r="ONG46" s="473"/>
      <c r="ONH46" s="473"/>
      <c r="ONI46" s="473"/>
      <c r="ONJ46" s="473"/>
      <c r="ONK46" s="473"/>
      <c r="ONL46" s="473"/>
      <c r="ONM46" s="473"/>
      <c r="ONN46" s="473"/>
      <c r="ONO46" s="473"/>
      <c r="ONP46" s="473"/>
      <c r="ONQ46" s="473"/>
      <c r="ONR46" s="473"/>
      <c r="ONS46" s="473"/>
      <c r="ONT46" s="473"/>
      <c r="ONU46" s="473"/>
      <c r="ONV46" s="473"/>
      <c r="ONW46" s="473"/>
      <c r="ONX46" s="473"/>
      <c r="ONY46" s="473"/>
      <c r="ONZ46" s="473"/>
      <c r="OOA46" s="473"/>
      <c r="OOB46" s="473"/>
      <c r="OOC46" s="473"/>
      <c r="OOD46" s="473"/>
      <c r="OOE46" s="473"/>
      <c r="OOF46" s="473"/>
      <c r="OOG46" s="473"/>
      <c r="OOH46" s="473"/>
      <c r="OOI46" s="473"/>
      <c r="OOJ46" s="473"/>
      <c r="OOK46" s="473"/>
      <c r="OOL46" s="473"/>
      <c r="OOM46" s="473"/>
      <c r="OON46" s="473"/>
      <c r="OOO46" s="473"/>
      <c r="OOP46" s="473"/>
      <c r="OOQ46" s="473"/>
      <c r="OOR46" s="473"/>
      <c r="OOS46" s="473"/>
      <c r="OOT46" s="473"/>
      <c r="OOU46" s="473"/>
      <c r="OOV46" s="473"/>
      <c r="OOW46" s="473"/>
      <c r="OOX46" s="473"/>
      <c r="OOY46" s="473"/>
      <c r="OOZ46" s="473"/>
      <c r="OPA46" s="473"/>
      <c r="OPB46" s="473"/>
      <c r="OPC46" s="473"/>
      <c r="OPD46" s="473"/>
      <c r="OPE46" s="473"/>
      <c r="OPF46" s="473"/>
      <c r="OPG46" s="473"/>
      <c r="OPH46" s="473"/>
      <c r="OPI46" s="473"/>
      <c r="OPJ46" s="473"/>
      <c r="OPK46" s="473"/>
      <c r="OPL46" s="473"/>
      <c r="OPM46" s="473"/>
      <c r="OPN46" s="473"/>
      <c r="OPO46" s="473"/>
      <c r="OPP46" s="473"/>
      <c r="OPQ46" s="473"/>
      <c r="OPR46" s="473"/>
      <c r="OPS46" s="473"/>
      <c r="OPT46" s="473"/>
      <c r="OPU46" s="473"/>
      <c r="OPV46" s="473"/>
      <c r="OPW46" s="473"/>
      <c r="OPX46" s="473"/>
      <c r="OPY46" s="473"/>
      <c r="OPZ46" s="473"/>
      <c r="OQA46" s="473"/>
      <c r="OQB46" s="473"/>
      <c r="OQC46" s="473"/>
      <c r="OQD46" s="473"/>
      <c r="OQE46" s="473"/>
      <c r="OQF46" s="473"/>
      <c r="OQG46" s="473"/>
      <c r="OQH46" s="473"/>
      <c r="OQI46" s="473"/>
      <c r="OQJ46" s="473"/>
      <c r="OQK46" s="473"/>
      <c r="OQL46" s="473"/>
      <c r="OQM46" s="473"/>
      <c r="OQN46" s="473"/>
      <c r="OQO46" s="473"/>
      <c r="OQP46" s="473"/>
      <c r="OQQ46" s="473"/>
      <c r="OQR46" s="473"/>
      <c r="OQS46" s="473"/>
      <c r="OQT46" s="473"/>
      <c r="OQU46" s="473"/>
      <c r="OQV46" s="473"/>
      <c r="OQW46" s="473"/>
      <c r="OQX46" s="473"/>
      <c r="OQY46" s="473"/>
      <c r="OQZ46" s="473"/>
      <c r="ORA46" s="473"/>
      <c r="ORB46" s="473"/>
      <c r="ORC46" s="473"/>
      <c r="ORD46" s="473"/>
      <c r="ORE46" s="473"/>
      <c r="ORF46" s="473"/>
      <c r="ORG46" s="473"/>
      <c r="ORH46" s="473"/>
      <c r="ORI46" s="473"/>
      <c r="ORJ46" s="473"/>
      <c r="ORK46" s="473"/>
      <c r="ORL46" s="473"/>
      <c r="ORM46" s="473"/>
      <c r="ORN46" s="473"/>
      <c r="ORO46" s="473"/>
      <c r="ORP46" s="473"/>
      <c r="ORQ46" s="473"/>
      <c r="ORR46" s="473"/>
      <c r="ORS46" s="473"/>
      <c r="ORT46" s="473"/>
      <c r="ORU46" s="473"/>
      <c r="ORV46" s="473"/>
      <c r="ORW46" s="473"/>
      <c r="ORX46" s="473"/>
      <c r="ORY46" s="473"/>
      <c r="ORZ46" s="473"/>
      <c r="OSA46" s="473"/>
      <c r="OSB46" s="473"/>
      <c r="OSC46" s="473"/>
      <c r="OSD46" s="473"/>
      <c r="OSE46" s="473"/>
      <c r="OSF46" s="473"/>
      <c r="OSG46" s="473"/>
      <c r="OSH46" s="473"/>
      <c r="OSI46" s="473"/>
      <c r="OSJ46" s="473"/>
      <c r="OSK46" s="473"/>
      <c r="OSL46" s="473"/>
      <c r="OSM46" s="473"/>
      <c r="OSN46" s="473"/>
      <c r="OSO46" s="473"/>
      <c r="OSP46" s="473"/>
      <c r="OSQ46" s="473"/>
      <c r="OSR46" s="473"/>
      <c r="OSS46" s="473"/>
      <c r="OST46" s="473"/>
      <c r="OSU46" s="473"/>
      <c r="OSV46" s="473"/>
      <c r="OSW46" s="473"/>
      <c r="OSX46" s="473"/>
      <c r="OSY46" s="473"/>
      <c r="OSZ46" s="473"/>
      <c r="OTA46" s="473"/>
      <c r="OTB46" s="473"/>
      <c r="OTC46" s="473"/>
      <c r="OTD46" s="473"/>
      <c r="OTE46" s="473"/>
      <c r="OTF46" s="473"/>
      <c r="OTG46" s="473"/>
      <c r="OTH46" s="473"/>
      <c r="OTI46" s="473"/>
      <c r="OTJ46" s="473"/>
      <c r="OTK46" s="473"/>
      <c r="OTL46" s="473"/>
      <c r="OTM46" s="473"/>
      <c r="OTN46" s="473"/>
      <c r="OTO46" s="473"/>
      <c r="OTP46" s="473"/>
      <c r="OTQ46" s="473"/>
      <c r="OTR46" s="473"/>
      <c r="OTS46" s="473"/>
      <c r="OTT46" s="473"/>
      <c r="OTU46" s="473"/>
      <c r="OTV46" s="473"/>
      <c r="OTW46" s="473"/>
      <c r="OTX46" s="473"/>
      <c r="OTY46" s="473"/>
      <c r="OTZ46" s="473"/>
      <c r="OUA46" s="473"/>
      <c r="OUB46" s="473"/>
      <c r="OUC46" s="473"/>
      <c r="OUD46" s="473"/>
      <c r="OUE46" s="473"/>
      <c r="OUF46" s="473"/>
      <c r="OUG46" s="473"/>
      <c r="OUH46" s="473"/>
      <c r="OUI46" s="473"/>
      <c r="OUJ46" s="473"/>
      <c r="OUK46" s="473"/>
      <c r="OUL46" s="473"/>
      <c r="OUM46" s="473"/>
      <c r="OUN46" s="473"/>
      <c r="OUO46" s="473"/>
      <c r="OUP46" s="473"/>
      <c r="OUQ46" s="473"/>
      <c r="OUR46" s="473"/>
      <c r="OUS46" s="473"/>
      <c r="OUT46" s="473"/>
      <c r="OUU46" s="473"/>
      <c r="OUV46" s="473"/>
      <c r="OUW46" s="473"/>
      <c r="OUX46" s="473"/>
      <c r="OUY46" s="473"/>
      <c r="OUZ46" s="473"/>
      <c r="OVA46" s="473"/>
      <c r="OVB46" s="473"/>
      <c r="OVC46" s="473"/>
      <c r="OVD46" s="473"/>
      <c r="OVE46" s="473"/>
      <c r="OVF46" s="473"/>
      <c r="OVG46" s="473"/>
      <c r="OVH46" s="473"/>
      <c r="OVI46" s="473"/>
      <c r="OVJ46" s="473"/>
      <c r="OVK46" s="473"/>
      <c r="OVL46" s="473"/>
      <c r="OVM46" s="473"/>
      <c r="OVN46" s="473"/>
      <c r="OVO46" s="473"/>
      <c r="OVP46" s="473"/>
      <c r="OVQ46" s="473"/>
      <c r="OVR46" s="473"/>
      <c r="OVS46" s="473"/>
      <c r="OVT46" s="473"/>
      <c r="OVU46" s="473"/>
      <c r="OVV46" s="473"/>
      <c r="OVW46" s="473"/>
      <c r="OVX46" s="473"/>
      <c r="OVY46" s="473"/>
      <c r="OVZ46" s="473"/>
      <c r="OWA46" s="473"/>
      <c r="OWB46" s="473"/>
      <c r="OWC46" s="473"/>
      <c r="OWD46" s="473"/>
      <c r="OWE46" s="473"/>
      <c r="OWF46" s="473"/>
      <c r="OWG46" s="473"/>
      <c r="OWH46" s="473"/>
      <c r="OWI46" s="473"/>
      <c r="OWJ46" s="473"/>
      <c r="OWK46" s="473"/>
      <c r="OWL46" s="473"/>
      <c r="OWM46" s="473"/>
      <c r="OWN46" s="473"/>
      <c r="OWO46" s="473"/>
      <c r="OWP46" s="473"/>
      <c r="OWQ46" s="473"/>
      <c r="OWR46" s="473"/>
      <c r="OWS46" s="473"/>
      <c r="OWT46" s="473"/>
      <c r="OWU46" s="473"/>
      <c r="OWV46" s="473"/>
      <c r="OWW46" s="473"/>
      <c r="OWX46" s="473"/>
      <c r="OWY46" s="473"/>
      <c r="OWZ46" s="473"/>
      <c r="OXA46" s="473"/>
      <c r="OXB46" s="473"/>
      <c r="OXC46" s="473"/>
      <c r="OXD46" s="473"/>
      <c r="OXE46" s="473"/>
      <c r="OXF46" s="473"/>
      <c r="OXG46" s="473"/>
      <c r="OXH46" s="473"/>
      <c r="OXI46" s="473"/>
      <c r="OXJ46" s="473"/>
      <c r="OXK46" s="473"/>
      <c r="OXL46" s="473"/>
      <c r="OXM46" s="473"/>
      <c r="OXN46" s="473"/>
      <c r="OXO46" s="473"/>
      <c r="OXP46" s="473"/>
      <c r="OXQ46" s="473"/>
      <c r="OXR46" s="473"/>
      <c r="OXS46" s="473"/>
      <c r="OXT46" s="473"/>
      <c r="OXU46" s="473"/>
      <c r="OXV46" s="473"/>
      <c r="OXW46" s="473"/>
      <c r="OXX46" s="473"/>
      <c r="OXY46" s="473"/>
      <c r="OXZ46" s="473"/>
      <c r="OYA46" s="473"/>
      <c r="OYB46" s="473"/>
      <c r="OYC46" s="473"/>
      <c r="OYD46" s="473"/>
      <c r="OYE46" s="473"/>
      <c r="OYF46" s="473"/>
      <c r="OYG46" s="473"/>
      <c r="OYH46" s="473"/>
      <c r="OYI46" s="473"/>
      <c r="OYJ46" s="473"/>
      <c r="OYK46" s="473"/>
      <c r="OYL46" s="473"/>
      <c r="OYM46" s="473"/>
      <c r="OYN46" s="473"/>
      <c r="OYO46" s="473"/>
      <c r="OYP46" s="473"/>
      <c r="OYQ46" s="473"/>
      <c r="OYR46" s="473"/>
      <c r="OYS46" s="473"/>
      <c r="OYT46" s="473"/>
      <c r="OYU46" s="473"/>
      <c r="OYV46" s="473"/>
      <c r="OYW46" s="473"/>
      <c r="OYX46" s="473"/>
      <c r="OYY46" s="473"/>
      <c r="OYZ46" s="473"/>
      <c r="OZA46" s="473"/>
      <c r="OZB46" s="473"/>
      <c r="OZC46" s="473"/>
      <c r="OZD46" s="473"/>
      <c r="OZE46" s="473"/>
      <c r="OZF46" s="473"/>
      <c r="OZG46" s="473"/>
      <c r="OZH46" s="473"/>
      <c r="OZI46" s="473"/>
      <c r="OZJ46" s="473"/>
      <c r="OZK46" s="473"/>
      <c r="OZL46" s="473"/>
      <c r="OZM46" s="473"/>
      <c r="OZN46" s="473"/>
      <c r="OZO46" s="473"/>
      <c r="OZP46" s="473"/>
      <c r="OZQ46" s="473"/>
      <c r="OZR46" s="473"/>
      <c r="OZS46" s="473"/>
      <c r="OZT46" s="473"/>
      <c r="OZU46" s="473"/>
      <c r="OZV46" s="473"/>
      <c r="OZW46" s="473"/>
      <c r="OZX46" s="473"/>
      <c r="OZY46" s="473"/>
      <c r="OZZ46" s="473"/>
      <c r="PAA46" s="473"/>
      <c r="PAB46" s="473"/>
      <c r="PAC46" s="473"/>
      <c r="PAD46" s="473"/>
      <c r="PAE46" s="473"/>
      <c r="PAF46" s="473"/>
      <c r="PAG46" s="473"/>
      <c r="PAH46" s="473"/>
      <c r="PAI46" s="473"/>
      <c r="PAJ46" s="473"/>
      <c r="PAK46" s="473"/>
      <c r="PAL46" s="473"/>
      <c r="PAM46" s="473"/>
      <c r="PAN46" s="473"/>
      <c r="PAO46" s="473"/>
      <c r="PAP46" s="473"/>
      <c r="PAQ46" s="473"/>
      <c r="PAR46" s="473"/>
      <c r="PAS46" s="473"/>
      <c r="PAT46" s="473"/>
      <c r="PAU46" s="473"/>
      <c r="PAV46" s="473"/>
      <c r="PAW46" s="473"/>
      <c r="PAX46" s="473"/>
      <c r="PAY46" s="473"/>
      <c r="PAZ46" s="473"/>
      <c r="PBA46" s="473"/>
      <c r="PBB46" s="473"/>
      <c r="PBC46" s="473"/>
      <c r="PBD46" s="473"/>
      <c r="PBE46" s="473"/>
      <c r="PBF46" s="473"/>
      <c r="PBG46" s="473"/>
      <c r="PBH46" s="473"/>
      <c r="PBI46" s="473"/>
      <c r="PBJ46" s="473"/>
      <c r="PBK46" s="473"/>
      <c r="PBL46" s="473"/>
      <c r="PBM46" s="473"/>
      <c r="PBN46" s="473"/>
      <c r="PBO46" s="473"/>
      <c r="PBP46" s="473"/>
      <c r="PBQ46" s="473"/>
      <c r="PBR46" s="473"/>
      <c r="PBS46" s="473"/>
      <c r="PBT46" s="473"/>
      <c r="PBU46" s="473"/>
      <c r="PBV46" s="473"/>
      <c r="PBW46" s="473"/>
      <c r="PBX46" s="473"/>
      <c r="PBY46" s="473"/>
      <c r="PBZ46" s="473"/>
      <c r="PCA46" s="473"/>
      <c r="PCB46" s="473"/>
      <c r="PCC46" s="473"/>
      <c r="PCD46" s="473"/>
      <c r="PCE46" s="473"/>
      <c r="PCF46" s="473"/>
      <c r="PCG46" s="473"/>
      <c r="PCH46" s="473"/>
      <c r="PCI46" s="473"/>
      <c r="PCJ46" s="473"/>
      <c r="PCK46" s="473"/>
      <c r="PCL46" s="473"/>
      <c r="PCM46" s="473"/>
      <c r="PCN46" s="473"/>
      <c r="PCO46" s="473"/>
      <c r="PCP46" s="473"/>
      <c r="PCQ46" s="473"/>
      <c r="PCR46" s="473"/>
      <c r="PCS46" s="473"/>
      <c r="PCT46" s="473"/>
      <c r="PCU46" s="473"/>
      <c r="PCV46" s="473"/>
      <c r="PCW46" s="473"/>
      <c r="PCX46" s="473"/>
      <c r="PCY46" s="473"/>
      <c r="PCZ46" s="473"/>
      <c r="PDA46" s="473"/>
      <c r="PDB46" s="473"/>
      <c r="PDC46" s="473"/>
      <c r="PDD46" s="473"/>
      <c r="PDE46" s="473"/>
      <c r="PDF46" s="473"/>
      <c r="PDG46" s="473"/>
      <c r="PDH46" s="473"/>
      <c r="PDI46" s="473"/>
      <c r="PDJ46" s="473"/>
      <c r="PDK46" s="473"/>
      <c r="PDL46" s="473"/>
      <c r="PDM46" s="473"/>
      <c r="PDN46" s="473"/>
      <c r="PDO46" s="473"/>
      <c r="PDP46" s="473"/>
      <c r="PDQ46" s="473"/>
      <c r="PDR46" s="473"/>
      <c r="PDS46" s="473"/>
      <c r="PDT46" s="473"/>
      <c r="PDU46" s="473"/>
      <c r="PDV46" s="473"/>
      <c r="PDW46" s="473"/>
      <c r="PDX46" s="473"/>
      <c r="PDY46" s="473"/>
      <c r="PDZ46" s="473"/>
      <c r="PEA46" s="473"/>
      <c r="PEB46" s="473"/>
      <c r="PEC46" s="473"/>
      <c r="PED46" s="473"/>
      <c r="PEE46" s="473"/>
      <c r="PEF46" s="473"/>
      <c r="PEG46" s="473"/>
      <c r="PEH46" s="473"/>
      <c r="PEI46" s="473"/>
      <c r="PEJ46" s="473"/>
      <c r="PEK46" s="473"/>
      <c r="PEL46" s="473"/>
      <c r="PEM46" s="473"/>
      <c r="PEN46" s="473"/>
      <c r="PEO46" s="473"/>
      <c r="PEP46" s="473"/>
      <c r="PEQ46" s="473"/>
      <c r="PER46" s="473"/>
      <c r="PES46" s="473"/>
      <c r="PET46" s="473"/>
      <c r="PEU46" s="473"/>
      <c r="PEV46" s="473"/>
      <c r="PEW46" s="473"/>
      <c r="PEX46" s="473"/>
      <c r="PEY46" s="473"/>
      <c r="PEZ46" s="473"/>
      <c r="PFA46" s="473"/>
      <c r="PFB46" s="473"/>
      <c r="PFC46" s="473"/>
      <c r="PFD46" s="473"/>
      <c r="PFE46" s="473"/>
      <c r="PFF46" s="473"/>
      <c r="PFG46" s="473"/>
      <c r="PFH46" s="473"/>
      <c r="PFI46" s="473"/>
      <c r="PFJ46" s="473"/>
      <c r="PFK46" s="473"/>
      <c r="PFL46" s="473"/>
      <c r="PFM46" s="473"/>
      <c r="PFN46" s="473"/>
      <c r="PFO46" s="473"/>
      <c r="PFP46" s="473"/>
      <c r="PFQ46" s="473"/>
      <c r="PFR46" s="473"/>
      <c r="PFS46" s="473"/>
      <c r="PFT46" s="473"/>
      <c r="PFU46" s="473"/>
      <c r="PFV46" s="473"/>
      <c r="PFW46" s="473"/>
      <c r="PFX46" s="473"/>
      <c r="PFY46" s="473"/>
      <c r="PFZ46" s="473"/>
      <c r="PGA46" s="473"/>
      <c r="PGB46" s="473"/>
      <c r="PGC46" s="473"/>
      <c r="PGD46" s="473"/>
      <c r="PGE46" s="473"/>
      <c r="PGF46" s="473"/>
      <c r="PGG46" s="473"/>
      <c r="PGH46" s="473"/>
      <c r="PGI46" s="473"/>
      <c r="PGJ46" s="473"/>
      <c r="PGK46" s="473"/>
      <c r="PGL46" s="473"/>
      <c r="PGM46" s="473"/>
      <c r="PGN46" s="473"/>
      <c r="PGO46" s="473"/>
      <c r="PGP46" s="473"/>
      <c r="PGQ46" s="473"/>
      <c r="PGR46" s="473"/>
      <c r="PGS46" s="473"/>
      <c r="PGT46" s="473"/>
      <c r="PGU46" s="473"/>
      <c r="PGV46" s="473"/>
      <c r="PGW46" s="473"/>
      <c r="PGX46" s="473"/>
      <c r="PGY46" s="473"/>
      <c r="PGZ46" s="473"/>
      <c r="PHA46" s="473"/>
      <c r="PHB46" s="473"/>
      <c r="PHC46" s="473"/>
      <c r="PHD46" s="473"/>
      <c r="PHE46" s="473"/>
      <c r="PHF46" s="473"/>
      <c r="PHG46" s="473"/>
      <c r="PHH46" s="473"/>
      <c r="PHI46" s="473"/>
      <c r="PHJ46" s="473"/>
      <c r="PHK46" s="473"/>
      <c r="PHL46" s="473"/>
      <c r="PHM46" s="473"/>
      <c r="PHN46" s="473"/>
      <c r="PHO46" s="473"/>
      <c r="PHP46" s="473"/>
      <c r="PHQ46" s="473"/>
      <c r="PHR46" s="473"/>
      <c r="PHS46" s="473"/>
      <c r="PHT46" s="473"/>
      <c r="PHU46" s="473"/>
      <c r="PHV46" s="473"/>
      <c r="PHW46" s="473"/>
      <c r="PHX46" s="473"/>
      <c r="PHY46" s="473"/>
      <c r="PHZ46" s="473"/>
      <c r="PIA46" s="473"/>
      <c r="PIB46" s="473"/>
      <c r="PIC46" s="473"/>
      <c r="PID46" s="473"/>
      <c r="PIE46" s="473"/>
      <c r="PIF46" s="473"/>
      <c r="PIG46" s="473"/>
      <c r="PIH46" s="473"/>
      <c r="PII46" s="473"/>
      <c r="PIJ46" s="473"/>
      <c r="PIK46" s="473"/>
      <c r="PIL46" s="473"/>
      <c r="PIM46" s="473"/>
      <c r="PIN46" s="473"/>
      <c r="PIO46" s="473"/>
      <c r="PIP46" s="473"/>
      <c r="PIQ46" s="473"/>
      <c r="PIR46" s="473"/>
      <c r="PIS46" s="473"/>
      <c r="PIT46" s="473"/>
      <c r="PIU46" s="473"/>
      <c r="PIV46" s="473"/>
      <c r="PIW46" s="473"/>
      <c r="PIX46" s="473"/>
      <c r="PIY46" s="473"/>
      <c r="PIZ46" s="473"/>
      <c r="PJA46" s="473"/>
      <c r="PJB46" s="473"/>
      <c r="PJC46" s="473"/>
      <c r="PJD46" s="473"/>
      <c r="PJE46" s="473"/>
      <c r="PJF46" s="473"/>
      <c r="PJG46" s="473"/>
      <c r="PJH46" s="473"/>
      <c r="PJI46" s="473"/>
      <c r="PJJ46" s="473"/>
      <c r="PJK46" s="473"/>
      <c r="PJL46" s="473"/>
      <c r="PJM46" s="473"/>
      <c r="PJN46" s="473"/>
      <c r="PJO46" s="473"/>
      <c r="PJP46" s="473"/>
      <c r="PJQ46" s="473"/>
      <c r="PJR46" s="473"/>
      <c r="PJS46" s="473"/>
      <c r="PJT46" s="473"/>
      <c r="PJU46" s="473"/>
      <c r="PJV46" s="473"/>
      <c r="PJW46" s="473"/>
      <c r="PJX46" s="473"/>
      <c r="PJY46" s="473"/>
      <c r="PJZ46" s="473"/>
      <c r="PKA46" s="473"/>
      <c r="PKB46" s="473"/>
      <c r="PKC46" s="473"/>
      <c r="PKD46" s="473"/>
      <c r="PKE46" s="473"/>
      <c r="PKF46" s="473"/>
      <c r="PKG46" s="473"/>
      <c r="PKH46" s="473"/>
      <c r="PKI46" s="473"/>
      <c r="PKJ46" s="473"/>
      <c r="PKK46" s="473"/>
      <c r="PKL46" s="473"/>
      <c r="PKM46" s="473"/>
      <c r="PKN46" s="473"/>
      <c r="PKO46" s="473"/>
      <c r="PKP46" s="473"/>
      <c r="PKQ46" s="473"/>
      <c r="PKR46" s="473"/>
      <c r="PKS46" s="473"/>
      <c r="PKT46" s="473"/>
      <c r="PKU46" s="473"/>
      <c r="PKV46" s="473"/>
      <c r="PKW46" s="473"/>
      <c r="PKX46" s="473"/>
      <c r="PKY46" s="473"/>
      <c r="PKZ46" s="473"/>
      <c r="PLA46" s="473"/>
      <c r="PLB46" s="473"/>
      <c r="PLC46" s="473"/>
      <c r="PLD46" s="473"/>
      <c r="PLE46" s="473"/>
      <c r="PLF46" s="473"/>
      <c r="PLG46" s="473"/>
      <c r="PLH46" s="473"/>
      <c r="PLI46" s="473"/>
      <c r="PLJ46" s="473"/>
      <c r="PLK46" s="473"/>
      <c r="PLL46" s="473"/>
      <c r="PLM46" s="473"/>
      <c r="PLN46" s="473"/>
      <c r="PLO46" s="473"/>
      <c r="PLP46" s="473"/>
      <c r="PLQ46" s="473"/>
      <c r="PLR46" s="473"/>
      <c r="PLS46" s="473"/>
      <c r="PLT46" s="473"/>
      <c r="PLU46" s="473"/>
      <c r="PLV46" s="473"/>
      <c r="PLW46" s="473"/>
      <c r="PLX46" s="473"/>
      <c r="PLY46" s="473"/>
      <c r="PLZ46" s="473"/>
      <c r="PMA46" s="473"/>
      <c r="PMB46" s="473"/>
      <c r="PMC46" s="473"/>
      <c r="PMD46" s="473"/>
      <c r="PME46" s="473"/>
      <c r="PMF46" s="473"/>
      <c r="PMG46" s="473"/>
      <c r="PMH46" s="473"/>
      <c r="PMI46" s="473"/>
      <c r="PMJ46" s="473"/>
      <c r="PMK46" s="473"/>
      <c r="PML46" s="473"/>
      <c r="PMM46" s="473"/>
      <c r="PMN46" s="473"/>
      <c r="PMO46" s="473"/>
      <c r="PMP46" s="473"/>
      <c r="PMQ46" s="473"/>
      <c r="PMR46" s="473"/>
      <c r="PMS46" s="473"/>
      <c r="PMT46" s="473"/>
      <c r="PMU46" s="473"/>
      <c r="PMV46" s="473"/>
      <c r="PMW46" s="473"/>
      <c r="PMX46" s="473"/>
      <c r="PMY46" s="473"/>
      <c r="PMZ46" s="473"/>
      <c r="PNA46" s="473"/>
      <c r="PNB46" s="473"/>
      <c r="PNC46" s="473"/>
      <c r="PND46" s="473"/>
      <c r="PNE46" s="473"/>
      <c r="PNF46" s="473"/>
      <c r="PNG46" s="473"/>
      <c r="PNH46" s="473"/>
      <c r="PNI46" s="473"/>
      <c r="PNJ46" s="473"/>
      <c r="PNK46" s="473"/>
      <c r="PNL46" s="473"/>
      <c r="PNM46" s="473"/>
      <c r="PNN46" s="473"/>
      <c r="PNO46" s="473"/>
      <c r="PNP46" s="473"/>
      <c r="PNQ46" s="473"/>
      <c r="PNR46" s="473"/>
      <c r="PNS46" s="473"/>
      <c r="PNT46" s="473"/>
      <c r="PNU46" s="473"/>
      <c r="PNV46" s="473"/>
      <c r="PNW46" s="473"/>
      <c r="PNX46" s="473"/>
      <c r="PNY46" s="473"/>
      <c r="PNZ46" s="473"/>
      <c r="POA46" s="473"/>
      <c r="POB46" s="473"/>
      <c r="POC46" s="473"/>
      <c r="POD46" s="473"/>
      <c r="POE46" s="473"/>
      <c r="POF46" s="473"/>
      <c r="POG46" s="473"/>
      <c r="POH46" s="473"/>
      <c r="POI46" s="473"/>
      <c r="POJ46" s="473"/>
      <c r="POK46" s="473"/>
      <c r="POL46" s="473"/>
      <c r="POM46" s="473"/>
      <c r="PON46" s="473"/>
      <c r="POO46" s="473"/>
      <c r="POP46" s="473"/>
      <c r="POQ46" s="473"/>
      <c r="POR46" s="473"/>
      <c r="POS46" s="473"/>
      <c r="POT46" s="473"/>
      <c r="POU46" s="473"/>
      <c r="POV46" s="473"/>
      <c r="POW46" s="473"/>
      <c r="POX46" s="473"/>
      <c r="POY46" s="473"/>
      <c r="POZ46" s="473"/>
      <c r="PPA46" s="473"/>
      <c r="PPB46" s="473"/>
      <c r="PPC46" s="473"/>
      <c r="PPD46" s="473"/>
      <c r="PPE46" s="473"/>
      <c r="PPF46" s="473"/>
      <c r="PPG46" s="473"/>
      <c r="PPH46" s="473"/>
      <c r="PPI46" s="473"/>
      <c r="PPJ46" s="473"/>
      <c r="PPK46" s="473"/>
      <c r="PPL46" s="473"/>
      <c r="PPM46" s="473"/>
      <c r="PPN46" s="473"/>
      <c r="PPO46" s="473"/>
      <c r="PPP46" s="473"/>
      <c r="PPQ46" s="473"/>
      <c r="PPR46" s="473"/>
      <c r="PPS46" s="473"/>
      <c r="PPT46" s="473"/>
      <c r="PPU46" s="473"/>
      <c r="PPV46" s="473"/>
      <c r="PPW46" s="473"/>
      <c r="PPX46" s="473"/>
      <c r="PPY46" s="473"/>
      <c r="PPZ46" s="473"/>
      <c r="PQA46" s="473"/>
      <c r="PQB46" s="473"/>
      <c r="PQC46" s="473"/>
      <c r="PQD46" s="473"/>
      <c r="PQE46" s="473"/>
      <c r="PQF46" s="473"/>
      <c r="PQG46" s="473"/>
      <c r="PQH46" s="473"/>
      <c r="PQI46" s="473"/>
      <c r="PQJ46" s="473"/>
      <c r="PQK46" s="473"/>
      <c r="PQL46" s="473"/>
      <c r="PQM46" s="473"/>
      <c r="PQN46" s="473"/>
      <c r="PQO46" s="473"/>
      <c r="PQP46" s="473"/>
      <c r="PQQ46" s="473"/>
      <c r="PQR46" s="473"/>
      <c r="PQS46" s="473"/>
      <c r="PQT46" s="473"/>
      <c r="PQU46" s="473"/>
      <c r="PQV46" s="473"/>
      <c r="PQW46" s="473"/>
      <c r="PQX46" s="473"/>
      <c r="PQY46" s="473"/>
      <c r="PQZ46" s="473"/>
      <c r="PRA46" s="473"/>
      <c r="PRB46" s="473"/>
      <c r="PRC46" s="473"/>
      <c r="PRD46" s="473"/>
      <c r="PRE46" s="473"/>
      <c r="PRF46" s="473"/>
      <c r="PRG46" s="473"/>
      <c r="PRH46" s="473"/>
      <c r="PRI46" s="473"/>
      <c r="PRJ46" s="473"/>
      <c r="PRK46" s="473"/>
      <c r="PRL46" s="473"/>
      <c r="PRM46" s="473"/>
      <c r="PRN46" s="473"/>
      <c r="PRO46" s="473"/>
      <c r="PRP46" s="473"/>
      <c r="PRQ46" s="473"/>
      <c r="PRR46" s="473"/>
      <c r="PRS46" s="473"/>
      <c r="PRT46" s="473"/>
      <c r="PRU46" s="473"/>
      <c r="PRV46" s="473"/>
      <c r="PRW46" s="473"/>
      <c r="PRX46" s="473"/>
      <c r="PRY46" s="473"/>
      <c r="PRZ46" s="473"/>
      <c r="PSA46" s="473"/>
      <c r="PSB46" s="473"/>
      <c r="PSC46" s="473"/>
      <c r="PSD46" s="473"/>
      <c r="PSE46" s="473"/>
      <c r="PSF46" s="473"/>
      <c r="PSG46" s="473"/>
      <c r="PSH46" s="473"/>
      <c r="PSI46" s="473"/>
      <c r="PSJ46" s="473"/>
      <c r="PSK46" s="473"/>
      <c r="PSL46" s="473"/>
      <c r="PSM46" s="473"/>
      <c r="PSN46" s="473"/>
      <c r="PSO46" s="473"/>
      <c r="PSP46" s="473"/>
      <c r="PSQ46" s="473"/>
      <c r="PSR46" s="473"/>
      <c r="PSS46" s="473"/>
      <c r="PST46" s="473"/>
      <c r="PSU46" s="473"/>
      <c r="PSV46" s="473"/>
      <c r="PSW46" s="473"/>
      <c r="PSX46" s="473"/>
      <c r="PSY46" s="473"/>
      <c r="PSZ46" s="473"/>
      <c r="PTA46" s="473"/>
      <c r="PTB46" s="473"/>
      <c r="PTC46" s="473"/>
      <c r="PTD46" s="473"/>
      <c r="PTE46" s="473"/>
      <c r="PTF46" s="473"/>
      <c r="PTG46" s="473"/>
      <c r="PTH46" s="473"/>
      <c r="PTI46" s="473"/>
      <c r="PTJ46" s="473"/>
      <c r="PTK46" s="473"/>
      <c r="PTL46" s="473"/>
      <c r="PTM46" s="473"/>
      <c r="PTN46" s="473"/>
      <c r="PTO46" s="473"/>
      <c r="PTP46" s="473"/>
      <c r="PTQ46" s="473"/>
      <c r="PTR46" s="473"/>
      <c r="PTS46" s="473"/>
      <c r="PTT46" s="473"/>
      <c r="PTU46" s="473"/>
      <c r="PTV46" s="473"/>
      <c r="PTW46" s="473"/>
      <c r="PTX46" s="473"/>
      <c r="PTY46" s="473"/>
      <c r="PTZ46" s="473"/>
      <c r="PUA46" s="473"/>
      <c r="PUB46" s="473"/>
      <c r="PUC46" s="473"/>
      <c r="PUD46" s="473"/>
      <c r="PUE46" s="473"/>
      <c r="PUF46" s="473"/>
      <c r="PUG46" s="473"/>
      <c r="PUH46" s="473"/>
      <c r="PUI46" s="473"/>
      <c r="PUJ46" s="473"/>
      <c r="PUK46" s="473"/>
      <c r="PUL46" s="473"/>
      <c r="PUM46" s="473"/>
      <c r="PUN46" s="473"/>
      <c r="PUO46" s="473"/>
      <c r="PUP46" s="473"/>
      <c r="PUQ46" s="473"/>
      <c r="PUR46" s="473"/>
      <c r="PUS46" s="473"/>
      <c r="PUT46" s="473"/>
      <c r="PUU46" s="473"/>
      <c r="PUV46" s="473"/>
      <c r="PUW46" s="473"/>
      <c r="PUX46" s="473"/>
      <c r="PUY46" s="473"/>
      <c r="PUZ46" s="473"/>
      <c r="PVA46" s="473"/>
      <c r="PVB46" s="473"/>
      <c r="PVC46" s="473"/>
      <c r="PVD46" s="473"/>
      <c r="PVE46" s="473"/>
      <c r="PVF46" s="473"/>
      <c r="PVG46" s="473"/>
      <c r="PVH46" s="473"/>
      <c r="PVI46" s="473"/>
      <c r="PVJ46" s="473"/>
      <c r="PVK46" s="473"/>
      <c r="PVL46" s="473"/>
      <c r="PVM46" s="473"/>
      <c r="PVN46" s="473"/>
      <c r="PVO46" s="473"/>
      <c r="PVP46" s="473"/>
      <c r="PVQ46" s="473"/>
      <c r="PVR46" s="473"/>
      <c r="PVS46" s="473"/>
      <c r="PVT46" s="473"/>
      <c r="PVU46" s="473"/>
      <c r="PVV46" s="473"/>
      <c r="PVW46" s="473"/>
      <c r="PVX46" s="473"/>
      <c r="PVY46" s="473"/>
      <c r="PVZ46" s="473"/>
      <c r="PWA46" s="473"/>
      <c r="PWB46" s="473"/>
      <c r="PWC46" s="473"/>
      <c r="PWD46" s="473"/>
      <c r="PWE46" s="473"/>
      <c r="PWF46" s="473"/>
      <c r="PWG46" s="473"/>
      <c r="PWH46" s="473"/>
      <c r="PWI46" s="473"/>
      <c r="PWJ46" s="473"/>
      <c r="PWK46" s="473"/>
      <c r="PWL46" s="473"/>
      <c r="PWM46" s="473"/>
      <c r="PWN46" s="473"/>
      <c r="PWO46" s="473"/>
      <c r="PWP46" s="473"/>
      <c r="PWQ46" s="473"/>
      <c r="PWR46" s="473"/>
      <c r="PWS46" s="473"/>
      <c r="PWT46" s="473"/>
      <c r="PWU46" s="473"/>
      <c r="PWV46" s="473"/>
      <c r="PWW46" s="473"/>
      <c r="PWX46" s="473"/>
      <c r="PWY46" s="473"/>
      <c r="PWZ46" s="473"/>
      <c r="PXA46" s="473"/>
      <c r="PXB46" s="473"/>
      <c r="PXC46" s="473"/>
      <c r="PXD46" s="473"/>
      <c r="PXE46" s="473"/>
      <c r="PXF46" s="473"/>
      <c r="PXG46" s="473"/>
      <c r="PXH46" s="473"/>
      <c r="PXI46" s="473"/>
      <c r="PXJ46" s="473"/>
      <c r="PXK46" s="473"/>
      <c r="PXL46" s="473"/>
      <c r="PXM46" s="473"/>
      <c r="PXN46" s="473"/>
      <c r="PXO46" s="473"/>
      <c r="PXP46" s="473"/>
      <c r="PXQ46" s="473"/>
      <c r="PXR46" s="473"/>
      <c r="PXS46" s="473"/>
      <c r="PXT46" s="473"/>
      <c r="PXU46" s="473"/>
      <c r="PXV46" s="473"/>
      <c r="PXW46" s="473"/>
      <c r="PXX46" s="473"/>
      <c r="PXY46" s="473"/>
      <c r="PXZ46" s="473"/>
      <c r="PYA46" s="473"/>
      <c r="PYB46" s="473"/>
      <c r="PYC46" s="473"/>
      <c r="PYD46" s="473"/>
      <c r="PYE46" s="473"/>
      <c r="PYF46" s="473"/>
      <c r="PYG46" s="473"/>
      <c r="PYH46" s="473"/>
      <c r="PYI46" s="473"/>
      <c r="PYJ46" s="473"/>
      <c r="PYK46" s="473"/>
      <c r="PYL46" s="473"/>
      <c r="PYM46" s="473"/>
      <c r="PYN46" s="473"/>
      <c r="PYO46" s="473"/>
      <c r="PYP46" s="473"/>
      <c r="PYQ46" s="473"/>
      <c r="PYR46" s="473"/>
      <c r="PYS46" s="473"/>
      <c r="PYT46" s="473"/>
      <c r="PYU46" s="473"/>
      <c r="PYV46" s="473"/>
      <c r="PYW46" s="473"/>
      <c r="PYX46" s="473"/>
      <c r="PYY46" s="473"/>
      <c r="PYZ46" s="473"/>
      <c r="PZA46" s="473"/>
      <c r="PZB46" s="473"/>
      <c r="PZC46" s="473"/>
      <c r="PZD46" s="473"/>
      <c r="PZE46" s="473"/>
      <c r="PZF46" s="473"/>
      <c r="PZG46" s="473"/>
      <c r="PZH46" s="473"/>
      <c r="PZI46" s="473"/>
      <c r="PZJ46" s="473"/>
      <c r="PZK46" s="473"/>
      <c r="PZL46" s="473"/>
      <c r="PZM46" s="473"/>
      <c r="PZN46" s="473"/>
      <c r="PZO46" s="473"/>
      <c r="PZP46" s="473"/>
      <c r="PZQ46" s="473"/>
      <c r="PZR46" s="473"/>
      <c r="PZS46" s="473"/>
      <c r="PZT46" s="473"/>
      <c r="PZU46" s="473"/>
      <c r="PZV46" s="473"/>
      <c r="PZW46" s="473"/>
      <c r="PZX46" s="473"/>
      <c r="PZY46" s="473"/>
      <c r="PZZ46" s="473"/>
      <c r="QAA46" s="473"/>
      <c r="QAB46" s="473"/>
      <c r="QAC46" s="473"/>
      <c r="QAD46" s="473"/>
      <c r="QAE46" s="473"/>
      <c r="QAF46" s="473"/>
      <c r="QAG46" s="473"/>
      <c r="QAH46" s="473"/>
      <c r="QAI46" s="473"/>
      <c r="QAJ46" s="473"/>
      <c r="QAK46" s="473"/>
      <c r="QAL46" s="473"/>
      <c r="QAM46" s="473"/>
      <c r="QAN46" s="473"/>
      <c r="QAO46" s="473"/>
      <c r="QAP46" s="473"/>
      <c r="QAQ46" s="473"/>
      <c r="QAR46" s="473"/>
      <c r="QAS46" s="473"/>
      <c r="QAT46" s="473"/>
      <c r="QAU46" s="473"/>
      <c r="QAV46" s="473"/>
      <c r="QAW46" s="473"/>
      <c r="QAX46" s="473"/>
      <c r="QAY46" s="473"/>
      <c r="QAZ46" s="473"/>
      <c r="QBA46" s="473"/>
      <c r="QBB46" s="473"/>
      <c r="QBC46" s="473"/>
      <c r="QBD46" s="473"/>
      <c r="QBE46" s="473"/>
      <c r="QBF46" s="473"/>
      <c r="QBG46" s="473"/>
      <c r="QBH46" s="473"/>
      <c r="QBI46" s="473"/>
      <c r="QBJ46" s="473"/>
      <c r="QBK46" s="473"/>
      <c r="QBL46" s="473"/>
      <c r="QBM46" s="473"/>
      <c r="QBN46" s="473"/>
      <c r="QBO46" s="473"/>
      <c r="QBP46" s="473"/>
      <c r="QBQ46" s="473"/>
      <c r="QBR46" s="473"/>
      <c r="QBS46" s="473"/>
      <c r="QBT46" s="473"/>
      <c r="QBU46" s="473"/>
      <c r="QBV46" s="473"/>
      <c r="QBW46" s="473"/>
      <c r="QBX46" s="473"/>
      <c r="QBY46" s="473"/>
      <c r="QBZ46" s="473"/>
      <c r="QCA46" s="473"/>
      <c r="QCB46" s="473"/>
      <c r="QCC46" s="473"/>
      <c r="QCD46" s="473"/>
      <c r="QCE46" s="473"/>
      <c r="QCF46" s="473"/>
      <c r="QCG46" s="473"/>
      <c r="QCH46" s="473"/>
      <c r="QCI46" s="473"/>
      <c r="QCJ46" s="473"/>
      <c r="QCK46" s="473"/>
      <c r="QCL46" s="473"/>
      <c r="QCM46" s="473"/>
      <c r="QCN46" s="473"/>
      <c r="QCO46" s="473"/>
      <c r="QCP46" s="473"/>
      <c r="QCQ46" s="473"/>
      <c r="QCR46" s="473"/>
      <c r="QCS46" s="473"/>
      <c r="QCT46" s="473"/>
      <c r="QCU46" s="473"/>
      <c r="QCV46" s="473"/>
      <c r="QCW46" s="473"/>
      <c r="QCX46" s="473"/>
      <c r="QCY46" s="473"/>
      <c r="QCZ46" s="473"/>
      <c r="QDA46" s="473"/>
      <c r="QDB46" s="473"/>
      <c r="QDC46" s="473"/>
      <c r="QDD46" s="473"/>
      <c r="QDE46" s="473"/>
      <c r="QDF46" s="473"/>
      <c r="QDG46" s="473"/>
      <c r="QDH46" s="473"/>
      <c r="QDI46" s="473"/>
      <c r="QDJ46" s="473"/>
      <c r="QDK46" s="473"/>
      <c r="QDL46" s="473"/>
      <c r="QDM46" s="473"/>
      <c r="QDN46" s="473"/>
      <c r="QDO46" s="473"/>
      <c r="QDP46" s="473"/>
      <c r="QDQ46" s="473"/>
      <c r="QDR46" s="473"/>
      <c r="QDS46" s="473"/>
      <c r="QDT46" s="473"/>
      <c r="QDU46" s="473"/>
      <c r="QDV46" s="473"/>
      <c r="QDW46" s="473"/>
      <c r="QDX46" s="473"/>
      <c r="QDY46" s="473"/>
      <c r="QDZ46" s="473"/>
      <c r="QEA46" s="473"/>
      <c r="QEB46" s="473"/>
      <c r="QEC46" s="473"/>
      <c r="QED46" s="473"/>
      <c r="QEE46" s="473"/>
      <c r="QEF46" s="473"/>
      <c r="QEG46" s="473"/>
      <c r="QEH46" s="473"/>
      <c r="QEI46" s="473"/>
      <c r="QEJ46" s="473"/>
      <c r="QEK46" s="473"/>
      <c r="QEL46" s="473"/>
      <c r="QEM46" s="473"/>
      <c r="QEN46" s="473"/>
      <c r="QEO46" s="473"/>
      <c r="QEP46" s="473"/>
      <c r="QEQ46" s="473"/>
      <c r="QER46" s="473"/>
      <c r="QES46" s="473"/>
      <c r="QET46" s="473"/>
      <c r="QEU46" s="473"/>
      <c r="QEV46" s="473"/>
      <c r="QEW46" s="473"/>
      <c r="QEX46" s="473"/>
      <c r="QEY46" s="473"/>
      <c r="QEZ46" s="473"/>
      <c r="QFA46" s="473"/>
      <c r="QFB46" s="473"/>
      <c r="QFC46" s="473"/>
      <c r="QFD46" s="473"/>
      <c r="QFE46" s="473"/>
      <c r="QFF46" s="473"/>
      <c r="QFG46" s="473"/>
      <c r="QFH46" s="473"/>
      <c r="QFI46" s="473"/>
      <c r="QFJ46" s="473"/>
      <c r="QFK46" s="473"/>
      <c r="QFL46" s="473"/>
      <c r="QFM46" s="473"/>
      <c r="QFN46" s="473"/>
      <c r="QFO46" s="473"/>
      <c r="QFP46" s="473"/>
      <c r="QFQ46" s="473"/>
      <c r="QFR46" s="473"/>
      <c r="QFS46" s="473"/>
      <c r="QFT46" s="473"/>
      <c r="QFU46" s="473"/>
      <c r="QFV46" s="473"/>
      <c r="QFW46" s="473"/>
      <c r="QFX46" s="473"/>
      <c r="QFY46" s="473"/>
      <c r="QFZ46" s="473"/>
      <c r="QGA46" s="473"/>
      <c r="QGB46" s="473"/>
      <c r="QGC46" s="473"/>
      <c r="QGD46" s="473"/>
      <c r="QGE46" s="473"/>
      <c r="QGF46" s="473"/>
      <c r="QGG46" s="473"/>
      <c r="QGH46" s="473"/>
      <c r="QGI46" s="473"/>
      <c r="QGJ46" s="473"/>
      <c r="QGK46" s="473"/>
      <c r="QGL46" s="473"/>
      <c r="QGM46" s="473"/>
      <c r="QGN46" s="473"/>
      <c r="QGO46" s="473"/>
      <c r="QGP46" s="473"/>
      <c r="QGQ46" s="473"/>
      <c r="QGR46" s="473"/>
      <c r="QGS46" s="473"/>
      <c r="QGT46" s="473"/>
      <c r="QGU46" s="473"/>
      <c r="QGV46" s="473"/>
      <c r="QGW46" s="473"/>
      <c r="QGX46" s="473"/>
      <c r="QGY46" s="473"/>
      <c r="QGZ46" s="473"/>
      <c r="QHA46" s="473"/>
      <c r="QHB46" s="473"/>
      <c r="QHC46" s="473"/>
      <c r="QHD46" s="473"/>
      <c r="QHE46" s="473"/>
      <c r="QHF46" s="473"/>
      <c r="QHG46" s="473"/>
      <c r="QHH46" s="473"/>
      <c r="QHI46" s="473"/>
      <c r="QHJ46" s="473"/>
      <c r="QHK46" s="473"/>
      <c r="QHL46" s="473"/>
      <c r="QHM46" s="473"/>
      <c r="QHN46" s="473"/>
      <c r="QHO46" s="473"/>
      <c r="QHP46" s="473"/>
      <c r="QHQ46" s="473"/>
      <c r="QHR46" s="473"/>
      <c r="QHS46" s="473"/>
      <c r="QHT46" s="473"/>
      <c r="QHU46" s="473"/>
      <c r="QHV46" s="473"/>
      <c r="QHW46" s="473"/>
      <c r="QHX46" s="473"/>
      <c r="QHY46" s="473"/>
      <c r="QHZ46" s="473"/>
      <c r="QIA46" s="473"/>
      <c r="QIB46" s="473"/>
      <c r="QIC46" s="473"/>
      <c r="QID46" s="473"/>
      <c r="QIE46" s="473"/>
      <c r="QIF46" s="473"/>
      <c r="QIG46" s="473"/>
      <c r="QIH46" s="473"/>
      <c r="QII46" s="473"/>
      <c r="QIJ46" s="473"/>
      <c r="QIK46" s="473"/>
      <c r="QIL46" s="473"/>
      <c r="QIM46" s="473"/>
      <c r="QIN46" s="473"/>
      <c r="QIO46" s="473"/>
      <c r="QIP46" s="473"/>
      <c r="QIQ46" s="473"/>
      <c r="QIR46" s="473"/>
      <c r="QIS46" s="473"/>
      <c r="QIT46" s="473"/>
      <c r="QIU46" s="473"/>
      <c r="QIV46" s="473"/>
      <c r="QIW46" s="473"/>
      <c r="QIX46" s="473"/>
      <c r="QIY46" s="473"/>
      <c r="QIZ46" s="473"/>
      <c r="QJA46" s="473"/>
      <c r="QJB46" s="473"/>
      <c r="QJC46" s="473"/>
      <c r="QJD46" s="473"/>
      <c r="QJE46" s="473"/>
      <c r="QJF46" s="473"/>
      <c r="QJG46" s="473"/>
      <c r="QJH46" s="473"/>
      <c r="QJI46" s="473"/>
      <c r="QJJ46" s="473"/>
      <c r="QJK46" s="473"/>
      <c r="QJL46" s="473"/>
      <c r="QJM46" s="473"/>
      <c r="QJN46" s="473"/>
      <c r="QJO46" s="473"/>
      <c r="QJP46" s="473"/>
      <c r="QJQ46" s="473"/>
      <c r="QJR46" s="473"/>
      <c r="QJS46" s="473"/>
      <c r="QJT46" s="473"/>
      <c r="QJU46" s="473"/>
      <c r="QJV46" s="473"/>
      <c r="QJW46" s="473"/>
      <c r="QJX46" s="473"/>
      <c r="QJY46" s="473"/>
      <c r="QJZ46" s="473"/>
      <c r="QKA46" s="473"/>
      <c r="QKB46" s="473"/>
      <c r="QKC46" s="473"/>
      <c r="QKD46" s="473"/>
      <c r="QKE46" s="473"/>
      <c r="QKF46" s="473"/>
      <c r="QKG46" s="473"/>
      <c r="QKH46" s="473"/>
      <c r="QKI46" s="473"/>
      <c r="QKJ46" s="473"/>
      <c r="QKK46" s="473"/>
      <c r="QKL46" s="473"/>
      <c r="QKM46" s="473"/>
      <c r="QKN46" s="473"/>
      <c r="QKO46" s="473"/>
      <c r="QKP46" s="473"/>
      <c r="QKQ46" s="473"/>
      <c r="QKR46" s="473"/>
      <c r="QKS46" s="473"/>
      <c r="QKT46" s="473"/>
      <c r="QKU46" s="473"/>
      <c r="QKV46" s="473"/>
      <c r="QKW46" s="473"/>
      <c r="QKX46" s="473"/>
      <c r="QKY46" s="473"/>
      <c r="QKZ46" s="473"/>
      <c r="QLA46" s="473"/>
      <c r="QLB46" s="473"/>
      <c r="QLC46" s="473"/>
      <c r="QLD46" s="473"/>
      <c r="QLE46" s="473"/>
      <c r="QLF46" s="473"/>
      <c r="QLG46" s="473"/>
      <c r="QLH46" s="473"/>
      <c r="QLI46" s="473"/>
      <c r="QLJ46" s="473"/>
      <c r="QLK46" s="473"/>
      <c r="QLL46" s="473"/>
      <c r="QLM46" s="473"/>
      <c r="QLN46" s="473"/>
      <c r="QLO46" s="473"/>
      <c r="QLP46" s="473"/>
      <c r="QLQ46" s="473"/>
      <c r="QLR46" s="473"/>
      <c r="QLS46" s="473"/>
      <c r="QLT46" s="473"/>
      <c r="QLU46" s="473"/>
      <c r="QLV46" s="473"/>
      <c r="QLW46" s="473"/>
      <c r="QLX46" s="473"/>
      <c r="QLY46" s="473"/>
      <c r="QLZ46" s="473"/>
      <c r="QMA46" s="473"/>
      <c r="QMB46" s="473"/>
      <c r="QMC46" s="473"/>
      <c r="QMD46" s="473"/>
      <c r="QME46" s="473"/>
      <c r="QMF46" s="473"/>
      <c r="QMG46" s="473"/>
      <c r="QMH46" s="473"/>
      <c r="QMI46" s="473"/>
      <c r="QMJ46" s="473"/>
      <c r="QMK46" s="473"/>
      <c r="QML46" s="473"/>
      <c r="QMM46" s="473"/>
      <c r="QMN46" s="473"/>
      <c r="QMO46" s="473"/>
      <c r="QMP46" s="473"/>
      <c r="QMQ46" s="473"/>
      <c r="QMR46" s="473"/>
      <c r="QMS46" s="473"/>
      <c r="QMT46" s="473"/>
      <c r="QMU46" s="473"/>
      <c r="QMV46" s="473"/>
      <c r="QMW46" s="473"/>
      <c r="QMX46" s="473"/>
      <c r="QMY46" s="473"/>
      <c r="QMZ46" s="473"/>
      <c r="QNA46" s="473"/>
      <c r="QNB46" s="473"/>
      <c r="QNC46" s="473"/>
      <c r="QND46" s="473"/>
      <c r="QNE46" s="473"/>
      <c r="QNF46" s="473"/>
      <c r="QNG46" s="473"/>
      <c r="QNH46" s="473"/>
      <c r="QNI46" s="473"/>
      <c r="QNJ46" s="473"/>
      <c r="QNK46" s="473"/>
      <c r="QNL46" s="473"/>
      <c r="QNM46" s="473"/>
      <c r="QNN46" s="473"/>
      <c r="QNO46" s="473"/>
      <c r="QNP46" s="473"/>
      <c r="QNQ46" s="473"/>
      <c r="QNR46" s="473"/>
      <c r="QNS46" s="473"/>
      <c r="QNT46" s="473"/>
      <c r="QNU46" s="473"/>
      <c r="QNV46" s="473"/>
      <c r="QNW46" s="473"/>
      <c r="QNX46" s="473"/>
      <c r="QNY46" s="473"/>
      <c r="QNZ46" s="473"/>
      <c r="QOA46" s="473"/>
      <c r="QOB46" s="473"/>
      <c r="QOC46" s="473"/>
      <c r="QOD46" s="473"/>
      <c r="QOE46" s="473"/>
      <c r="QOF46" s="473"/>
      <c r="QOG46" s="473"/>
      <c r="QOH46" s="473"/>
      <c r="QOI46" s="473"/>
      <c r="QOJ46" s="473"/>
      <c r="QOK46" s="473"/>
      <c r="QOL46" s="473"/>
      <c r="QOM46" s="473"/>
      <c r="QON46" s="473"/>
      <c r="QOO46" s="473"/>
      <c r="QOP46" s="473"/>
      <c r="QOQ46" s="473"/>
      <c r="QOR46" s="473"/>
      <c r="QOS46" s="473"/>
      <c r="QOT46" s="473"/>
      <c r="QOU46" s="473"/>
      <c r="QOV46" s="473"/>
      <c r="QOW46" s="473"/>
      <c r="QOX46" s="473"/>
      <c r="QOY46" s="473"/>
      <c r="QOZ46" s="473"/>
      <c r="QPA46" s="473"/>
      <c r="QPB46" s="473"/>
      <c r="QPC46" s="473"/>
      <c r="QPD46" s="473"/>
      <c r="QPE46" s="473"/>
      <c r="QPF46" s="473"/>
      <c r="QPG46" s="473"/>
      <c r="QPH46" s="473"/>
      <c r="QPI46" s="473"/>
      <c r="QPJ46" s="473"/>
      <c r="QPK46" s="473"/>
      <c r="QPL46" s="473"/>
      <c r="QPM46" s="473"/>
      <c r="QPN46" s="473"/>
      <c r="QPO46" s="473"/>
      <c r="QPP46" s="473"/>
      <c r="QPQ46" s="473"/>
      <c r="QPR46" s="473"/>
      <c r="QPS46" s="473"/>
      <c r="QPT46" s="473"/>
      <c r="QPU46" s="473"/>
      <c r="QPV46" s="473"/>
      <c r="QPW46" s="473"/>
      <c r="QPX46" s="473"/>
      <c r="QPY46" s="473"/>
      <c r="QPZ46" s="473"/>
      <c r="QQA46" s="473"/>
      <c r="QQB46" s="473"/>
      <c r="QQC46" s="473"/>
      <c r="QQD46" s="473"/>
      <c r="QQE46" s="473"/>
      <c r="QQF46" s="473"/>
      <c r="QQG46" s="473"/>
      <c r="QQH46" s="473"/>
      <c r="QQI46" s="473"/>
      <c r="QQJ46" s="473"/>
      <c r="QQK46" s="473"/>
      <c r="QQL46" s="473"/>
      <c r="QQM46" s="473"/>
      <c r="QQN46" s="473"/>
      <c r="QQO46" s="473"/>
      <c r="QQP46" s="473"/>
      <c r="QQQ46" s="473"/>
      <c r="QQR46" s="473"/>
      <c r="QQS46" s="473"/>
      <c r="QQT46" s="473"/>
      <c r="QQU46" s="473"/>
      <c r="QQV46" s="473"/>
      <c r="QQW46" s="473"/>
      <c r="QQX46" s="473"/>
      <c r="QQY46" s="473"/>
      <c r="QQZ46" s="473"/>
      <c r="QRA46" s="473"/>
      <c r="QRB46" s="473"/>
      <c r="QRC46" s="473"/>
      <c r="QRD46" s="473"/>
      <c r="QRE46" s="473"/>
      <c r="QRF46" s="473"/>
      <c r="QRG46" s="473"/>
      <c r="QRH46" s="473"/>
      <c r="QRI46" s="473"/>
      <c r="QRJ46" s="473"/>
      <c r="QRK46" s="473"/>
      <c r="QRL46" s="473"/>
      <c r="QRM46" s="473"/>
      <c r="QRN46" s="473"/>
      <c r="QRO46" s="473"/>
      <c r="QRP46" s="473"/>
      <c r="QRQ46" s="473"/>
      <c r="QRR46" s="473"/>
      <c r="QRS46" s="473"/>
      <c r="QRT46" s="473"/>
      <c r="QRU46" s="473"/>
      <c r="QRV46" s="473"/>
      <c r="QRW46" s="473"/>
      <c r="QRX46" s="473"/>
      <c r="QRY46" s="473"/>
      <c r="QRZ46" s="473"/>
      <c r="QSA46" s="473"/>
      <c r="QSB46" s="473"/>
      <c r="QSC46" s="473"/>
      <c r="QSD46" s="473"/>
      <c r="QSE46" s="473"/>
      <c r="QSF46" s="473"/>
      <c r="QSG46" s="473"/>
      <c r="QSH46" s="473"/>
      <c r="QSI46" s="473"/>
      <c r="QSJ46" s="473"/>
      <c r="QSK46" s="473"/>
      <c r="QSL46" s="473"/>
      <c r="QSM46" s="473"/>
      <c r="QSN46" s="473"/>
      <c r="QSO46" s="473"/>
      <c r="QSP46" s="473"/>
      <c r="QSQ46" s="473"/>
      <c r="QSR46" s="473"/>
      <c r="QSS46" s="473"/>
      <c r="QST46" s="473"/>
      <c r="QSU46" s="473"/>
      <c r="QSV46" s="473"/>
      <c r="QSW46" s="473"/>
      <c r="QSX46" s="473"/>
      <c r="QSY46" s="473"/>
      <c r="QSZ46" s="473"/>
      <c r="QTA46" s="473"/>
      <c r="QTB46" s="473"/>
      <c r="QTC46" s="473"/>
      <c r="QTD46" s="473"/>
      <c r="QTE46" s="473"/>
      <c r="QTF46" s="473"/>
      <c r="QTG46" s="473"/>
      <c r="QTH46" s="473"/>
      <c r="QTI46" s="473"/>
      <c r="QTJ46" s="473"/>
      <c r="QTK46" s="473"/>
      <c r="QTL46" s="473"/>
      <c r="QTM46" s="473"/>
      <c r="QTN46" s="473"/>
      <c r="QTO46" s="473"/>
      <c r="QTP46" s="473"/>
      <c r="QTQ46" s="473"/>
      <c r="QTR46" s="473"/>
      <c r="QTS46" s="473"/>
      <c r="QTT46" s="473"/>
      <c r="QTU46" s="473"/>
      <c r="QTV46" s="473"/>
      <c r="QTW46" s="473"/>
      <c r="QTX46" s="473"/>
      <c r="QTY46" s="473"/>
      <c r="QTZ46" s="473"/>
      <c r="QUA46" s="473"/>
      <c r="QUB46" s="473"/>
      <c r="QUC46" s="473"/>
      <c r="QUD46" s="473"/>
      <c r="QUE46" s="473"/>
      <c r="QUF46" s="473"/>
      <c r="QUG46" s="473"/>
      <c r="QUH46" s="473"/>
      <c r="QUI46" s="473"/>
      <c r="QUJ46" s="473"/>
      <c r="QUK46" s="473"/>
      <c r="QUL46" s="473"/>
      <c r="QUM46" s="473"/>
      <c r="QUN46" s="473"/>
      <c r="QUO46" s="473"/>
      <c r="QUP46" s="473"/>
      <c r="QUQ46" s="473"/>
      <c r="QUR46" s="473"/>
      <c r="QUS46" s="473"/>
      <c r="QUT46" s="473"/>
      <c r="QUU46" s="473"/>
      <c r="QUV46" s="473"/>
      <c r="QUW46" s="473"/>
      <c r="QUX46" s="473"/>
      <c r="QUY46" s="473"/>
      <c r="QUZ46" s="473"/>
      <c r="QVA46" s="473"/>
      <c r="QVB46" s="473"/>
      <c r="QVC46" s="473"/>
      <c r="QVD46" s="473"/>
      <c r="QVE46" s="473"/>
      <c r="QVF46" s="473"/>
      <c r="QVG46" s="473"/>
      <c r="QVH46" s="473"/>
      <c r="QVI46" s="473"/>
      <c r="QVJ46" s="473"/>
      <c r="QVK46" s="473"/>
      <c r="QVL46" s="473"/>
      <c r="QVM46" s="473"/>
      <c r="QVN46" s="473"/>
      <c r="QVO46" s="473"/>
      <c r="QVP46" s="473"/>
      <c r="QVQ46" s="473"/>
      <c r="QVR46" s="473"/>
      <c r="QVS46" s="473"/>
      <c r="QVT46" s="473"/>
      <c r="QVU46" s="473"/>
      <c r="QVV46" s="473"/>
      <c r="QVW46" s="473"/>
      <c r="QVX46" s="473"/>
      <c r="QVY46" s="473"/>
      <c r="QVZ46" s="473"/>
      <c r="QWA46" s="473"/>
      <c r="QWB46" s="473"/>
      <c r="QWC46" s="473"/>
      <c r="QWD46" s="473"/>
      <c r="QWE46" s="473"/>
      <c r="QWF46" s="473"/>
      <c r="QWG46" s="473"/>
      <c r="QWH46" s="473"/>
      <c r="QWI46" s="473"/>
      <c r="QWJ46" s="473"/>
      <c r="QWK46" s="473"/>
      <c r="QWL46" s="473"/>
      <c r="QWM46" s="473"/>
      <c r="QWN46" s="473"/>
      <c r="QWO46" s="473"/>
      <c r="QWP46" s="473"/>
      <c r="QWQ46" s="473"/>
      <c r="QWR46" s="473"/>
      <c r="QWS46" s="473"/>
      <c r="QWT46" s="473"/>
      <c r="QWU46" s="473"/>
      <c r="QWV46" s="473"/>
      <c r="QWW46" s="473"/>
      <c r="QWX46" s="473"/>
      <c r="QWY46" s="473"/>
      <c r="QWZ46" s="473"/>
      <c r="QXA46" s="473"/>
      <c r="QXB46" s="473"/>
      <c r="QXC46" s="473"/>
      <c r="QXD46" s="473"/>
      <c r="QXE46" s="473"/>
      <c r="QXF46" s="473"/>
      <c r="QXG46" s="473"/>
      <c r="QXH46" s="473"/>
      <c r="QXI46" s="473"/>
      <c r="QXJ46" s="473"/>
      <c r="QXK46" s="473"/>
      <c r="QXL46" s="473"/>
      <c r="QXM46" s="473"/>
      <c r="QXN46" s="473"/>
      <c r="QXO46" s="473"/>
      <c r="QXP46" s="473"/>
      <c r="QXQ46" s="473"/>
      <c r="QXR46" s="473"/>
      <c r="QXS46" s="473"/>
      <c r="QXT46" s="473"/>
      <c r="QXU46" s="473"/>
      <c r="QXV46" s="473"/>
      <c r="QXW46" s="473"/>
      <c r="QXX46" s="473"/>
      <c r="QXY46" s="473"/>
      <c r="QXZ46" s="473"/>
      <c r="QYA46" s="473"/>
      <c r="QYB46" s="473"/>
      <c r="QYC46" s="473"/>
      <c r="QYD46" s="473"/>
      <c r="QYE46" s="473"/>
      <c r="QYF46" s="473"/>
      <c r="QYG46" s="473"/>
      <c r="QYH46" s="473"/>
      <c r="QYI46" s="473"/>
      <c r="QYJ46" s="473"/>
      <c r="QYK46" s="473"/>
      <c r="QYL46" s="473"/>
      <c r="QYM46" s="473"/>
      <c r="QYN46" s="473"/>
      <c r="QYO46" s="473"/>
      <c r="QYP46" s="473"/>
      <c r="QYQ46" s="473"/>
      <c r="QYR46" s="473"/>
      <c r="QYS46" s="473"/>
      <c r="QYT46" s="473"/>
      <c r="QYU46" s="473"/>
      <c r="QYV46" s="473"/>
      <c r="QYW46" s="473"/>
      <c r="QYX46" s="473"/>
      <c r="QYY46" s="473"/>
      <c r="QYZ46" s="473"/>
      <c r="QZA46" s="473"/>
      <c r="QZB46" s="473"/>
      <c r="QZC46" s="473"/>
      <c r="QZD46" s="473"/>
      <c r="QZE46" s="473"/>
      <c r="QZF46" s="473"/>
      <c r="QZG46" s="473"/>
      <c r="QZH46" s="473"/>
      <c r="QZI46" s="473"/>
      <c r="QZJ46" s="473"/>
      <c r="QZK46" s="473"/>
      <c r="QZL46" s="473"/>
      <c r="QZM46" s="473"/>
      <c r="QZN46" s="473"/>
      <c r="QZO46" s="473"/>
      <c r="QZP46" s="473"/>
      <c r="QZQ46" s="473"/>
      <c r="QZR46" s="473"/>
      <c r="QZS46" s="473"/>
      <c r="QZT46" s="473"/>
      <c r="QZU46" s="473"/>
      <c r="QZV46" s="473"/>
      <c r="QZW46" s="473"/>
      <c r="QZX46" s="473"/>
      <c r="QZY46" s="473"/>
      <c r="QZZ46" s="473"/>
      <c r="RAA46" s="473"/>
      <c r="RAB46" s="473"/>
      <c r="RAC46" s="473"/>
      <c r="RAD46" s="473"/>
      <c r="RAE46" s="473"/>
      <c r="RAF46" s="473"/>
      <c r="RAG46" s="473"/>
      <c r="RAH46" s="473"/>
      <c r="RAI46" s="473"/>
      <c r="RAJ46" s="473"/>
      <c r="RAK46" s="473"/>
      <c r="RAL46" s="473"/>
      <c r="RAM46" s="473"/>
      <c r="RAN46" s="473"/>
      <c r="RAO46" s="473"/>
      <c r="RAP46" s="473"/>
      <c r="RAQ46" s="473"/>
      <c r="RAR46" s="473"/>
      <c r="RAS46" s="473"/>
      <c r="RAT46" s="473"/>
      <c r="RAU46" s="473"/>
      <c r="RAV46" s="473"/>
      <c r="RAW46" s="473"/>
      <c r="RAX46" s="473"/>
      <c r="RAY46" s="473"/>
      <c r="RAZ46" s="473"/>
      <c r="RBA46" s="473"/>
      <c r="RBB46" s="473"/>
      <c r="RBC46" s="473"/>
      <c r="RBD46" s="473"/>
      <c r="RBE46" s="473"/>
      <c r="RBF46" s="473"/>
      <c r="RBG46" s="473"/>
      <c r="RBH46" s="473"/>
      <c r="RBI46" s="473"/>
      <c r="RBJ46" s="473"/>
      <c r="RBK46" s="473"/>
      <c r="RBL46" s="473"/>
      <c r="RBM46" s="473"/>
      <c r="RBN46" s="473"/>
      <c r="RBO46" s="473"/>
      <c r="RBP46" s="473"/>
      <c r="RBQ46" s="473"/>
      <c r="RBR46" s="473"/>
      <c r="RBS46" s="473"/>
      <c r="RBT46" s="473"/>
      <c r="RBU46" s="473"/>
      <c r="RBV46" s="473"/>
      <c r="RBW46" s="473"/>
      <c r="RBX46" s="473"/>
      <c r="RBY46" s="473"/>
      <c r="RBZ46" s="473"/>
      <c r="RCA46" s="473"/>
      <c r="RCB46" s="473"/>
      <c r="RCC46" s="473"/>
      <c r="RCD46" s="473"/>
      <c r="RCE46" s="473"/>
      <c r="RCF46" s="473"/>
      <c r="RCG46" s="473"/>
      <c r="RCH46" s="473"/>
      <c r="RCI46" s="473"/>
      <c r="RCJ46" s="473"/>
      <c r="RCK46" s="473"/>
      <c r="RCL46" s="473"/>
      <c r="RCM46" s="473"/>
      <c r="RCN46" s="473"/>
      <c r="RCO46" s="473"/>
      <c r="RCP46" s="473"/>
      <c r="RCQ46" s="473"/>
      <c r="RCR46" s="473"/>
      <c r="RCS46" s="473"/>
      <c r="RCT46" s="473"/>
      <c r="RCU46" s="473"/>
      <c r="RCV46" s="473"/>
      <c r="RCW46" s="473"/>
      <c r="RCX46" s="473"/>
      <c r="RCY46" s="473"/>
      <c r="RCZ46" s="473"/>
      <c r="RDA46" s="473"/>
      <c r="RDB46" s="473"/>
      <c r="RDC46" s="473"/>
      <c r="RDD46" s="473"/>
      <c r="RDE46" s="473"/>
      <c r="RDF46" s="473"/>
      <c r="RDG46" s="473"/>
      <c r="RDH46" s="473"/>
      <c r="RDI46" s="473"/>
      <c r="RDJ46" s="473"/>
      <c r="RDK46" s="473"/>
      <c r="RDL46" s="473"/>
      <c r="RDM46" s="473"/>
      <c r="RDN46" s="473"/>
      <c r="RDO46" s="473"/>
      <c r="RDP46" s="473"/>
      <c r="RDQ46" s="473"/>
      <c r="RDR46" s="473"/>
      <c r="RDS46" s="473"/>
      <c r="RDT46" s="473"/>
      <c r="RDU46" s="473"/>
      <c r="RDV46" s="473"/>
      <c r="RDW46" s="473"/>
      <c r="RDX46" s="473"/>
      <c r="RDY46" s="473"/>
      <c r="RDZ46" s="473"/>
      <c r="REA46" s="473"/>
      <c r="REB46" s="473"/>
      <c r="REC46" s="473"/>
      <c r="RED46" s="473"/>
      <c r="REE46" s="473"/>
      <c r="REF46" s="473"/>
      <c r="REG46" s="473"/>
      <c r="REH46" s="473"/>
      <c r="REI46" s="473"/>
      <c r="REJ46" s="473"/>
      <c r="REK46" s="473"/>
      <c r="REL46" s="473"/>
      <c r="REM46" s="473"/>
      <c r="REN46" s="473"/>
      <c r="REO46" s="473"/>
      <c r="REP46" s="473"/>
      <c r="REQ46" s="473"/>
      <c r="RER46" s="473"/>
      <c r="RES46" s="473"/>
      <c r="RET46" s="473"/>
      <c r="REU46" s="473"/>
      <c r="REV46" s="473"/>
      <c r="REW46" s="473"/>
      <c r="REX46" s="473"/>
      <c r="REY46" s="473"/>
      <c r="REZ46" s="473"/>
      <c r="RFA46" s="473"/>
      <c r="RFB46" s="473"/>
      <c r="RFC46" s="473"/>
      <c r="RFD46" s="473"/>
      <c r="RFE46" s="473"/>
      <c r="RFF46" s="473"/>
      <c r="RFG46" s="473"/>
      <c r="RFH46" s="473"/>
      <c r="RFI46" s="473"/>
      <c r="RFJ46" s="473"/>
      <c r="RFK46" s="473"/>
      <c r="RFL46" s="473"/>
      <c r="RFM46" s="473"/>
      <c r="RFN46" s="473"/>
      <c r="RFO46" s="473"/>
      <c r="RFP46" s="473"/>
      <c r="RFQ46" s="473"/>
      <c r="RFR46" s="473"/>
      <c r="RFS46" s="473"/>
      <c r="RFT46" s="473"/>
      <c r="RFU46" s="473"/>
      <c r="RFV46" s="473"/>
      <c r="RFW46" s="473"/>
      <c r="RFX46" s="473"/>
      <c r="RFY46" s="473"/>
      <c r="RFZ46" s="473"/>
      <c r="RGA46" s="473"/>
      <c r="RGB46" s="473"/>
      <c r="RGC46" s="473"/>
      <c r="RGD46" s="473"/>
      <c r="RGE46" s="473"/>
      <c r="RGF46" s="473"/>
      <c r="RGG46" s="473"/>
      <c r="RGH46" s="473"/>
      <c r="RGI46" s="473"/>
      <c r="RGJ46" s="473"/>
      <c r="RGK46" s="473"/>
      <c r="RGL46" s="473"/>
      <c r="RGM46" s="473"/>
      <c r="RGN46" s="473"/>
      <c r="RGO46" s="473"/>
      <c r="RGP46" s="473"/>
      <c r="RGQ46" s="473"/>
      <c r="RGR46" s="473"/>
      <c r="RGS46" s="473"/>
      <c r="RGT46" s="473"/>
      <c r="RGU46" s="473"/>
      <c r="RGV46" s="473"/>
      <c r="RGW46" s="473"/>
      <c r="RGX46" s="473"/>
      <c r="RGY46" s="473"/>
      <c r="RGZ46" s="473"/>
      <c r="RHA46" s="473"/>
      <c r="RHB46" s="473"/>
      <c r="RHC46" s="473"/>
      <c r="RHD46" s="473"/>
      <c r="RHE46" s="473"/>
      <c r="RHF46" s="473"/>
      <c r="RHG46" s="473"/>
      <c r="RHH46" s="473"/>
      <c r="RHI46" s="473"/>
      <c r="RHJ46" s="473"/>
      <c r="RHK46" s="473"/>
      <c r="RHL46" s="473"/>
      <c r="RHM46" s="473"/>
      <c r="RHN46" s="473"/>
      <c r="RHO46" s="473"/>
      <c r="RHP46" s="473"/>
      <c r="RHQ46" s="473"/>
      <c r="RHR46" s="473"/>
      <c r="RHS46" s="473"/>
      <c r="RHT46" s="473"/>
      <c r="RHU46" s="473"/>
      <c r="RHV46" s="473"/>
      <c r="RHW46" s="473"/>
      <c r="RHX46" s="473"/>
      <c r="RHY46" s="473"/>
      <c r="RHZ46" s="473"/>
      <c r="RIA46" s="473"/>
      <c r="RIB46" s="473"/>
      <c r="RIC46" s="473"/>
      <c r="RID46" s="473"/>
      <c r="RIE46" s="473"/>
      <c r="RIF46" s="473"/>
      <c r="RIG46" s="473"/>
      <c r="RIH46" s="473"/>
      <c r="RII46" s="473"/>
      <c r="RIJ46" s="473"/>
      <c r="RIK46" s="473"/>
      <c r="RIL46" s="473"/>
      <c r="RIM46" s="473"/>
      <c r="RIN46" s="473"/>
      <c r="RIO46" s="473"/>
      <c r="RIP46" s="473"/>
      <c r="RIQ46" s="473"/>
      <c r="RIR46" s="473"/>
      <c r="RIS46" s="473"/>
      <c r="RIT46" s="473"/>
      <c r="RIU46" s="473"/>
      <c r="RIV46" s="473"/>
      <c r="RIW46" s="473"/>
      <c r="RIX46" s="473"/>
      <c r="RIY46" s="473"/>
      <c r="RIZ46" s="473"/>
      <c r="RJA46" s="473"/>
      <c r="RJB46" s="473"/>
      <c r="RJC46" s="473"/>
      <c r="RJD46" s="473"/>
      <c r="RJE46" s="473"/>
      <c r="RJF46" s="473"/>
      <c r="RJG46" s="473"/>
      <c r="RJH46" s="473"/>
      <c r="RJI46" s="473"/>
      <c r="RJJ46" s="473"/>
      <c r="RJK46" s="473"/>
      <c r="RJL46" s="473"/>
      <c r="RJM46" s="473"/>
      <c r="RJN46" s="473"/>
      <c r="RJO46" s="473"/>
      <c r="RJP46" s="473"/>
      <c r="RJQ46" s="473"/>
      <c r="RJR46" s="473"/>
      <c r="RJS46" s="473"/>
      <c r="RJT46" s="473"/>
      <c r="RJU46" s="473"/>
      <c r="RJV46" s="473"/>
      <c r="RJW46" s="473"/>
      <c r="RJX46" s="473"/>
      <c r="RJY46" s="473"/>
      <c r="RJZ46" s="473"/>
      <c r="RKA46" s="473"/>
      <c r="RKB46" s="473"/>
      <c r="RKC46" s="473"/>
      <c r="RKD46" s="473"/>
      <c r="RKE46" s="473"/>
      <c r="RKF46" s="473"/>
      <c r="RKG46" s="473"/>
      <c r="RKH46" s="473"/>
      <c r="RKI46" s="473"/>
      <c r="RKJ46" s="473"/>
      <c r="RKK46" s="473"/>
      <c r="RKL46" s="473"/>
      <c r="RKM46" s="473"/>
      <c r="RKN46" s="473"/>
      <c r="RKO46" s="473"/>
      <c r="RKP46" s="473"/>
      <c r="RKQ46" s="473"/>
      <c r="RKR46" s="473"/>
      <c r="RKS46" s="473"/>
      <c r="RKT46" s="473"/>
      <c r="RKU46" s="473"/>
      <c r="RKV46" s="473"/>
      <c r="RKW46" s="473"/>
      <c r="RKX46" s="473"/>
      <c r="RKY46" s="473"/>
      <c r="RKZ46" s="473"/>
      <c r="RLA46" s="473"/>
      <c r="RLB46" s="473"/>
      <c r="RLC46" s="473"/>
      <c r="RLD46" s="473"/>
      <c r="RLE46" s="473"/>
      <c r="RLF46" s="473"/>
      <c r="RLG46" s="473"/>
      <c r="RLH46" s="473"/>
      <c r="RLI46" s="473"/>
      <c r="RLJ46" s="473"/>
      <c r="RLK46" s="473"/>
      <c r="RLL46" s="473"/>
      <c r="RLM46" s="473"/>
      <c r="RLN46" s="473"/>
      <c r="RLO46" s="473"/>
      <c r="RLP46" s="473"/>
      <c r="RLQ46" s="473"/>
      <c r="RLR46" s="473"/>
      <c r="RLS46" s="473"/>
      <c r="RLT46" s="473"/>
      <c r="RLU46" s="473"/>
      <c r="RLV46" s="473"/>
      <c r="RLW46" s="473"/>
      <c r="RLX46" s="473"/>
      <c r="RLY46" s="473"/>
      <c r="RLZ46" s="473"/>
      <c r="RMA46" s="473"/>
      <c r="RMB46" s="473"/>
      <c r="RMC46" s="473"/>
      <c r="RMD46" s="473"/>
      <c r="RME46" s="473"/>
      <c r="RMF46" s="473"/>
      <c r="RMG46" s="473"/>
      <c r="RMH46" s="473"/>
      <c r="RMI46" s="473"/>
      <c r="RMJ46" s="473"/>
      <c r="RMK46" s="473"/>
      <c r="RML46" s="473"/>
      <c r="RMM46" s="473"/>
      <c r="RMN46" s="473"/>
      <c r="RMO46" s="473"/>
      <c r="RMP46" s="473"/>
      <c r="RMQ46" s="473"/>
      <c r="RMR46" s="473"/>
      <c r="RMS46" s="473"/>
      <c r="RMT46" s="473"/>
      <c r="RMU46" s="473"/>
      <c r="RMV46" s="473"/>
      <c r="RMW46" s="473"/>
      <c r="RMX46" s="473"/>
      <c r="RMY46" s="473"/>
      <c r="RMZ46" s="473"/>
      <c r="RNA46" s="473"/>
      <c r="RNB46" s="473"/>
      <c r="RNC46" s="473"/>
      <c r="RND46" s="473"/>
      <c r="RNE46" s="473"/>
      <c r="RNF46" s="473"/>
      <c r="RNG46" s="473"/>
      <c r="RNH46" s="473"/>
      <c r="RNI46" s="473"/>
      <c r="RNJ46" s="473"/>
      <c r="RNK46" s="473"/>
      <c r="RNL46" s="473"/>
      <c r="RNM46" s="473"/>
      <c r="RNN46" s="473"/>
      <c r="RNO46" s="473"/>
      <c r="RNP46" s="473"/>
      <c r="RNQ46" s="473"/>
      <c r="RNR46" s="473"/>
      <c r="RNS46" s="473"/>
      <c r="RNT46" s="473"/>
      <c r="RNU46" s="473"/>
      <c r="RNV46" s="473"/>
      <c r="RNW46" s="473"/>
      <c r="RNX46" s="473"/>
      <c r="RNY46" s="473"/>
      <c r="RNZ46" s="473"/>
      <c r="ROA46" s="473"/>
      <c r="ROB46" s="473"/>
      <c r="ROC46" s="473"/>
      <c r="ROD46" s="473"/>
      <c r="ROE46" s="473"/>
      <c r="ROF46" s="473"/>
      <c r="ROG46" s="473"/>
      <c r="ROH46" s="473"/>
      <c r="ROI46" s="473"/>
      <c r="ROJ46" s="473"/>
      <c r="ROK46" s="473"/>
      <c r="ROL46" s="473"/>
      <c r="ROM46" s="473"/>
      <c r="RON46" s="473"/>
      <c r="ROO46" s="473"/>
      <c r="ROP46" s="473"/>
      <c r="ROQ46" s="473"/>
      <c r="ROR46" s="473"/>
      <c r="ROS46" s="473"/>
      <c r="ROT46" s="473"/>
      <c r="ROU46" s="473"/>
      <c r="ROV46" s="473"/>
      <c r="ROW46" s="473"/>
      <c r="ROX46" s="473"/>
      <c r="ROY46" s="473"/>
      <c r="ROZ46" s="473"/>
      <c r="RPA46" s="473"/>
      <c r="RPB46" s="473"/>
      <c r="RPC46" s="473"/>
      <c r="RPD46" s="473"/>
      <c r="RPE46" s="473"/>
      <c r="RPF46" s="473"/>
      <c r="RPG46" s="473"/>
      <c r="RPH46" s="473"/>
      <c r="RPI46" s="473"/>
      <c r="RPJ46" s="473"/>
      <c r="RPK46" s="473"/>
      <c r="RPL46" s="473"/>
      <c r="RPM46" s="473"/>
      <c r="RPN46" s="473"/>
      <c r="RPO46" s="473"/>
      <c r="RPP46" s="473"/>
      <c r="RPQ46" s="473"/>
      <c r="RPR46" s="473"/>
      <c r="RPS46" s="473"/>
      <c r="RPT46" s="473"/>
      <c r="RPU46" s="473"/>
      <c r="RPV46" s="473"/>
      <c r="RPW46" s="473"/>
      <c r="RPX46" s="473"/>
      <c r="RPY46" s="473"/>
      <c r="RPZ46" s="473"/>
      <c r="RQA46" s="473"/>
      <c r="RQB46" s="473"/>
      <c r="RQC46" s="473"/>
      <c r="RQD46" s="473"/>
      <c r="RQE46" s="473"/>
      <c r="RQF46" s="473"/>
      <c r="RQG46" s="473"/>
      <c r="RQH46" s="473"/>
      <c r="RQI46" s="473"/>
      <c r="RQJ46" s="473"/>
      <c r="RQK46" s="473"/>
      <c r="RQL46" s="473"/>
      <c r="RQM46" s="473"/>
      <c r="RQN46" s="473"/>
      <c r="RQO46" s="473"/>
      <c r="RQP46" s="473"/>
      <c r="RQQ46" s="473"/>
      <c r="RQR46" s="473"/>
      <c r="RQS46" s="473"/>
      <c r="RQT46" s="473"/>
      <c r="RQU46" s="473"/>
      <c r="RQV46" s="473"/>
      <c r="RQW46" s="473"/>
      <c r="RQX46" s="473"/>
      <c r="RQY46" s="473"/>
      <c r="RQZ46" s="473"/>
      <c r="RRA46" s="473"/>
      <c r="RRB46" s="473"/>
      <c r="RRC46" s="473"/>
      <c r="RRD46" s="473"/>
      <c r="RRE46" s="473"/>
      <c r="RRF46" s="473"/>
      <c r="RRG46" s="473"/>
      <c r="RRH46" s="473"/>
      <c r="RRI46" s="473"/>
      <c r="RRJ46" s="473"/>
      <c r="RRK46" s="473"/>
      <c r="RRL46" s="473"/>
      <c r="RRM46" s="473"/>
      <c r="RRN46" s="473"/>
      <c r="RRO46" s="473"/>
      <c r="RRP46" s="473"/>
      <c r="RRQ46" s="473"/>
      <c r="RRR46" s="473"/>
      <c r="RRS46" s="473"/>
      <c r="RRT46" s="473"/>
      <c r="RRU46" s="473"/>
      <c r="RRV46" s="473"/>
      <c r="RRW46" s="473"/>
      <c r="RRX46" s="473"/>
      <c r="RRY46" s="473"/>
      <c r="RRZ46" s="473"/>
      <c r="RSA46" s="473"/>
      <c r="RSB46" s="473"/>
      <c r="RSC46" s="473"/>
      <c r="RSD46" s="473"/>
      <c r="RSE46" s="473"/>
      <c r="RSF46" s="473"/>
      <c r="RSG46" s="473"/>
      <c r="RSH46" s="473"/>
      <c r="RSI46" s="473"/>
      <c r="RSJ46" s="473"/>
      <c r="RSK46" s="473"/>
      <c r="RSL46" s="473"/>
      <c r="RSM46" s="473"/>
      <c r="RSN46" s="473"/>
      <c r="RSO46" s="473"/>
      <c r="RSP46" s="473"/>
      <c r="RSQ46" s="473"/>
      <c r="RSR46" s="473"/>
      <c r="RSS46" s="473"/>
      <c r="RST46" s="473"/>
      <c r="RSU46" s="473"/>
      <c r="RSV46" s="473"/>
      <c r="RSW46" s="473"/>
      <c r="RSX46" s="473"/>
      <c r="RSY46" s="473"/>
      <c r="RSZ46" s="473"/>
      <c r="RTA46" s="473"/>
      <c r="RTB46" s="473"/>
      <c r="RTC46" s="473"/>
      <c r="RTD46" s="473"/>
      <c r="RTE46" s="473"/>
      <c r="RTF46" s="473"/>
      <c r="RTG46" s="473"/>
      <c r="RTH46" s="473"/>
      <c r="RTI46" s="473"/>
      <c r="RTJ46" s="473"/>
      <c r="RTK46" s="473"/>
      <c r="RTL46" s="473"/>
      <c r="RTM46" s="473"/>
      <c r="RTN46" s="473"/>
      <c r="RTO46" s="473"/>
      <c r="RTP46" s="473"/>
      <c r="RTQ46" s="473"/>
      <c r="RTR46" s="473"/>
      <c r="RTS46" s="473"/>
      <c r="RTT46" s="473"/>
      <c r="RTU46" s="473"/>
      <c r="RTV46" s="473"/>
      <c r="RTW46" s="473"/>
      <c r="RTX46" s="473"/>
      <c r="RTY46" s="473"/>
      <c r="RTZ46" s="473"/>
      <c r="RUA46" s="473"/>
      <c r="RUB46" s="473"/>
      <c r="RUC46" s="473"/>
      <c r="RUD46" s="473"/>
      <c r="RUE46" s="473"/>
      <c r="RUF46" s="473"/>
      <c r="RUG46" s="473"/>
      <c r="RUH46" s="473"/>
      <c r="RUI46" s="473"/>
      <c r="RUJ46" s="473"/>
      <c r="RUK46" s="473"/>
      <c r="RUL46" s="473"/>
      <c r="RUM46" s="473"/>
      <c r="RUN46" s="473"/>
      <c r="RUO46" s="473"/>
      <c r="RUP46" s="473"/>
      <c r="RUQ46" s="473"/>
      <c r="RUR46" s="473"/>
      <c r="RUS46" s="473"/>
      <c r="RUT46" s="473"/>
      <c r="RUU46" s="473"/>
      <c r="RUV46" s="473"/>
      <c r="RUW46" s="473"/>
      <c r="RUX46" s="473"/>
      <c r="RUY46" s="473"/>
      <c r="RUZ46" s="473"/>
      <c r="RVA46" s="473"/>
      <c r="RVB46" s="473"/>
      <c r="RVC46" s="473"/>
      <c r="RVD46" s="473"/>
      <c r="RVE46" s="473"/>
      <c r="RVF46" s="473"/>
      <c r="RVG46" s="473"/>
      <c r="RVH46" s="473"/>
      <c r="RVI46" s="473"/>
      <c r="RVJ46" s="473"/>
      <c r="RVK46" s="473"/>
      <c r="RVL46" s="473"/>
      <c r="RVM46" s="473"/>
      <c r="RVN46" s="473"/>
      <c r="RVO46" s="473"/>
      <c r="RVP46" s="473"/>
      <c r="RVQ46" s="473"/>
      <c r="RVR46" s="473"/>
      <c r="RVS46" s="473"/>
      <c r="RVT46" s="473"/>
      <c r="RVU46" s="473"/>
      <c r="RVV46" s="473"/>
      <c r="RVW46" s="473"/>
      <c r="RVX46" s="473"/>
      <c r="RVY46" s="473"/>
      <c r="RVZ46" s="473"/>
      <c r="RWA46" s="473"/>
      <c r="RWB46" s="473"/>
      <c r="RWC46" s="473"/>
      <c r="RWD46" s="473"/>
      <c r="RWE46" s="473"/>
      <c r="RWF46" s="473"/>
      <c r="RWG46" s="473"/>
      <c r="RWH46" s="473"/>
      <c r="RWI46" s="473"/>
      <c r="RWJ46" s="473"/>
      <c r="RWK46" s="473"/>
      <c r="RWL46" s="473"/>
      <c r="RWM46" s="473"/>
      <c r="RWN46" s="473"/>
      <c r="RWO46" s="473"/>
      <c r="RWP46" s="473"/>
      <c r="RWQ46" s="473"/>
      <c r="RWR46" s="473"/>
      <c r="RWS46" s="473"/>
      <c r="RWT46" s="473"/>
      <c r="RWU46" s="473"/>
      <c r="RWV46" s="473"/>
      <c r="RWW46" s="473"/>
      <c r="RWX46" s="473"/>
      <c r="RWY46" s="473"/>
      <c r="RWZ46" s="473"/>
      <c r="RXA46" s="473"/>
      <c r="RXB46" s="473"/>
      <c r="RXC46" s="473"/>
      <c r="RXD46" s="473"/>
      <c r="RXE46" s="473"/>
      <c r="RXF46" s="473"/>
      <c r="RXG46" s="473"/>
      <c r="RXH46" s="473"/>
      <c r="RXI46" s="473"/>
      <c r="RXJ46" s="473"/>
      <c r="RXK46" s="473"/>
      <c r="RXL46" s="473"/>
      <c r="RXM46" s="473"/>
      <c r="RXN46" s="473"/>
      <c r="RXO46" s="473"/>
      <c r="RXP46" s="473"/>
      <c r="RXQ46" s="473"/>
      <c r="RXR46" s="473"/>
      <c r="RXS46" s="473"/>
      <c r="RXT46" s="473"/>
      <c r="RXU46" s="473"/>
      <c r="RXV46" s="473"/>
      <c r="RXW46" s="473"/>
      <c r="RXX46" s="473"/>
      <c r="RXY46" s="473"/>
      <c r="RXZ46" s="473"/>
      <c r="RYA46" s="473"/>
      <c r="RYB46" s="473"/>
      <c r="RYC46" s="473"/>
      <c r="RYD46" s="473"/>
      <c r="RYE46" s="473"/>
      <c r="RYF46" s="473"/>
      <c r="RYG46" s="473"/>
      <c r="RYH46" s="473"/>
      <c r="RYI46" s="473"/>
      <c r="RYJ46" s="473"/>
      <c r="RYK46" s="473"/>
      <c r="RYL46" s="473"/>
      <c r="RYM46" s="473"/>
      <c r="RYN46" s="473"/>
      <c r="RYO46" s="473"/>
      <c r="RYP46" s="473"/>
      <c r="RYQ46" s="473"/>
      <c r="RYR46" s="473"/>
      <c r="RYS46" s="473"/>
      <c r="RYT46" s="473"/>
      <c r="RYU46" s="473"/>
      <c r="RYV46" s="473"/>
      <c r="RYW46" s="473"/>
      <c r="RYX46" s="473"/>
      <c r="RYY46" s="473"/>
      <c r="RYZ46" s="473"/>
      <c r="RZA46" s="473"/>
      <c r="RZB46" s="473"/>
      <c r="RZC46" s="473"/>
      <c r="RZD46" s="473"/>
      <c r="RZE46" s="473"/>
      <c r="RZF46" s="473"/>
      <c r="RZG46" s="473"/>
      <c r="RZH46" s="473"/>
      <c r="RZI46" s="473"/>
      <c r="RZJ46" s="473"/>
      <c r="RZK46" s="473"/>
      <c r="RZL46" s="473"/>
      <c r="RZM46" s="473"/>
      <c r="RZN46" s="473"/>
      <c r="RZO46" s="473"/>
      <c r="RZP46" s="473"/>
      <c r="RZQ46" s="473"/>
      <c r="RZR46" s="473"/>
      <c r="RZS46" s="473"/>
      <c r="RZT46" s="473"/>
      <c r="RZU46" s="473"/>
      <c r="RZV46" s="473"/>
      <c r="RZW46" s="473"/>
      <c r="RZX46" s="473"/>
      <c r="RZY46" s="473"/>
      <c r="RZZ46" s="473"/>
      <c r="SAA46" s="473"/>
      <c r="SAB46" s="473"/>
      <c r="SAC46" s="473"/>
      <c r="SAD46" s="473"/>
      <c r="SAE46" s="473"/>
      <c r="SAF46" s="473"/>
      <c r="SAG46" s="473"/>
      <c r="SAH46" s="473"/>
      <c r="SAI46" s="473"/>
      <c r="SAJ46" s="473"/>
      <c r="SAK46" s="473"/>
      <c r="SAL46" s="473"/>
      <c r="SAM46" s="473"/>
      <c r="SAN46" s="473"/>
      <c r="SAO46" s="473"/>
      <c r="SAP46" s="473"/>
      <c r="SAQ46" s="473"/>
      <c r="SAR46" s="473"/>
      <c r="SAS46" s="473"/>
      <c r="SAT46" s="473"/>
      <c r="SAU46" s="473"/>
      <c r="SAV46" s="473"/>
      <c r="SAW46" s="473"/>
      <c r="SAX46" s="473"/>
      <c r="SAY46" s="473"/>
      <c r="SAZ46" s="473"/>
      <c r="SBA46" s="473"/>
      <c r="SBB46" s="473"/>
      <c r="SBC46" s="473"/>
      <c r="SBD46" s="473"/>
      <c r="SBE46" s="473"/>
      <c r="SBF46" s="473"/>
      <c r="SBG46" s="473"/>
      <c r="SBH46" s="473"/>
      <c r="SBI46" s="473"/>
      <c r="SBJ46" s="473"/>
      <c r="SBK46" s="473"/>
      <c r="SBL46" s="473"/>
      <c r="SBM46" s="473"/>
      <c r="SBN46" s="473"/>
      <c r="SBO46" s="473"/>
      <c r="SBP46" s="473"/>
      <c r="SBQ46" s="473"/>
      <c r="SBR46" s="473"/>
      <c r="SBS46" s="473"/>
      <c r="SBT46" s="473"/>
      <c r="SBU46" s="473"/>
      <c r="SBV46" s="473"/>
      <c r="SBW46" s="473"/>
      <c r="SBX46" s="473"/>
      <c r="SBY46" s="473"/>
      <c r="SBZ46" s="473"/>
      <c r="SCA46" s="473"/>
      <c r="SCB46" s="473"/>
      <c r="SCC46" s="473"/>
      <c r="SCD46" s="473"/>
      <c r="SCE46" s="473"/>
      <c r="SCF46" s="473"/>
      <c r="SCG46" s="473"/>
      <c r="SCH46" s="473"/>
      <c r="SCI46" s="473"/>
      <c r="SCJ46" s="473"/>
      <c r="SCK46" s="473"/>
      <c r="SCL46" s="473"/>
      <c r="SCM46" s="473"/>
      <c r="SCN46" s="473"/>
      <c r="SCO46" s="473"/>
      <c r="SCP46" s="473"/>
      <c r="SCQ46" s="473"/>
      <c r="SCR46" s="473"/>
      <c r="SCS46" s="473"/>
      <c r="SCT46" s="473"/>
      <c r="SCU46" s="473"/>
      <c r="SCV46" s="473"/>
      <c r="SCW46" s="473"/>
      <c r="SCX46" s="473"/>
      <c r="SCY46" s="473"/>
      <c r="SCZ46" s="473"/>
      <c r="SDA46" s="473"/>
      <c r="SDB46" s="473"/>
      <c r="SDC46" s="473"/>
      <c r="SDD46" s="473"/>
      <c r="SDE46" s="473"/>
      <c r="SDF46" s="473"/>
      <c r="SDG46" s="473"/>
      <c r="SDH46" s="473"/>
      <c r="SDI46" s="473"/>
      <c r="SDJ46" s="473"/>
      <c r="SDK46" s="473"/>
      <c r="SDL46" s="473"/>
      <c r="SDM46" s="473"/>
      <c r="SDN46" s="473"/>
      <c r="SDO46" s="473"/>
      <c r="SDP46" s="473"/>
      <c r="SDQ46" s="473"/>
      <c r="SDR46" s="473"/>
      <c r="SDS46" s="473"/>
      <c r="SDT46" s="473"/>
      <c r="SDU46" s="473"/>
      <c r="SDV46" s="473"/>
      <c r="SDW46" s="473"/>
      <c r="SDX46" s="473"/>
      <c r="SDY46" s="473"/>
      <c r="SDZ46" s="473"/>
      <c r="SEA46" s="473"/>
      <c r="SEB46" s="473"/>
      <c r="SEC46" s="473"/>
      <c r="SED46" s="473"/>
      <c r="SEE46" s="473"/>
      <c r="SEF46" s="473"/>
      <c r="SEG46" s="473"/>
      <c r="SEH46" s="473"/>
      <c r="SEI46" s="473"/>
      <c r="SEJ46" s="473"/>
      <c r="SEK46" s="473"/>
      <c r="SEL46" s="473"/>
      <c r="SEM46" s="473"/>
      <c r="SEN46" s="473"/>
      <c r="SEO46" s="473"/>
      <c r="SEP46" s="473"/>
      <c r="SEQ46" s="473"/>
      <c r="SER46" s="473"/>
      <c r="SES46" s="473"/>
      <c r="SET46" s="473"/>
      <c r="SEU46" s="473"/>
      <c r="SEV46" s="473"/>
      <c r="SEW46" s="473"/>
      <c r="SEX46" s="473"/>
      <c r="SEY46" s="473"/>
      <c r="SEZ46" s="473"/>
      <c r="SFA46" s="473"/>
      <c r="SFB46" s="473"/>
      <c r="SFC46" s="473"/>
      <c r="SFD46" s="473"/>
      <c r="SFE46" s="473"/>
      <c r="SFF46" s="473"/>
      <c r="SFG46" s="473"/>
      <c r="SFH46" s="473"/>
      <c r="SFI46" s="473"/>
      <c r="SFJ46" s="473"/>
      <c r="SFK46" s="473"/>
      <c r="SFL46" s="473"/>
      <c r="SFM46" s="473"/>
      <c r="SFN46" s="473"/>
      <c r="SFO46" s="473"/>
      <c r="SFP46" s="473"/>
      <c r="SFQ46" s="473"/>
      <c r="SFR46" s="473"/>
      <c r="SFS46" s="473"/>
      <c r="SFT46" s="473"/>
      <c r="SFU46" s="473"/>
      <c r="SFV46" s="473"/>
      <c r="SFW46" s="473"/>
      <c r="SFX46" s="473"/>
      <c r="SFY46" s="473"/>
      <c r="SFZ46" s="473"/>
      <c r="SGA46" s="473"/>
      <c r="SGB46" s="473"/>
      <c r="SGC46" s="473"/>
      <c r="SGD46" s="473"/>
      <c r="SGE46" s="473"/>
      <c r="SGF46" s="473"/>
      <c r="SGG46" s="473"/>
      <c r="SGH46" s="473"/>
      <c r="SGI46" s="473"/>
      <c r="SGJ46" s="473"/>
      <c r="SGK46" s="473"/>
      <c r="SGL46" s="473"/>
      <c r="SGM46" s="473"/>
      <c r="SGN46" s="473"/>
      <c r="SGO46" s="473"/>
      <c r="SGP46" s="473"/>
      <c r="SGQ46" s="473"/>
      <c r="SGR46" s="473"/>
      <c r="SGS46" s="473"/>
      <c r="SGT46" s="473"/>
      <c r="SGU46" s="473"/>
      <c r="SGV46" s="473"/>
      <c r="SGW46" s="473"/>
      <c r="SGX46" s="473"/>
      <c r="SGY46" s="473"/>
      <c r="SGZ46" s="473"/>
      <c r="SHA46" s="473"/>
      <c r="SHB46" s="473"/>
      <c r="SHC46" s="473"/>
      <c r="SHD46" s="473"/>
      <c r="SHE46" s="473"/>
      <c r="SHF46" s="473"/>
      <c r="SHG46" s="473"/>
      <c r="SHH46" s="473"/>
      <c r="SHI46" s="473"/>
      <c r="SHJ46" s="473"/>
      <c r="SHK46" s="473"/>
      <c r="SHL46" s="473"/>
      <c r="SHM46" s="473"/>
      <c r="SHN46" s="473"/>
      <c r="SHO46" s="473"/>
      <c r="SHP46" s="473"/>
      <c r="SHQ46" s="473"/>
      <c r="SHR46" s="473"/>
      <c r="SHS46" s="473"/>
      <c r="SHT46" s="473"/>
      <c r="SHU46" s="473"/>
      <c r="SHV46" s="473"/>
      <c r="SHW46" s="473"/>
      <c r="SHX46" s="473"/>
      <c r="SHY46" s="473"/>
      <c r="SHZ46" s="473"/>
      <c r="SIA46" s="473"/>
      <c r="SIB46" s="473"/>
      <c r="SIC46" s="473"/>
      <c r="SID46" s="473"/>
      <c r="SIE46" s="473"/>
      <c r="SIF46" s="473"/>
      <c r="SIG46" s="473"/>
      <c r="SIH46" s="473"/>
      <c r="SII46" s="473"/>
      <c r="SIJ46" s="473"/>
      <c r="SIK46" s="473"/>
      <c r="SIL46" s="473"/>
      <c r="SIM46" s="473"/>
      <c r="SIN46" s="473"/>
      <c r="SIO46" s="473"/>
      <c r="SIP46" s="473"/>
      <c r="SIQ46" s="473"/>
      <c r="SIR46" s="473"/>
      <c r="SIS46" s="473"/>
      <c r="SIT46" s="473"/>
      <c r="SIU46" s="473"/>
      <c r="SIV46" s="473"/>
      <c r="SIW46" s="473"/>
      <c r="SIX46" s="473"/>
      <c r="SIY46" s="473"/>
      <c r="SIZ46" s="473"/>
      <c r="SJA46" s="473"/>
      <c r="SJB46" s="473"/>
      <c r="SJC46" s="473"/>
      <c r="SJD46" s="473"/>
      <c r="SJE46" s="473"/>
      <c r="SJF46" s="473"/>
      <c r="SJG46" s="473"/>
      <c r="SJH46" s="473"/>
      <c r="SJI46" s="473"/>
      <c r="SJJ46" s="473"/>
      <c r="SJK46" s="473"/>
      <c r="SJL46" s="473"/>
      <c r="SJM46" s="473"/>
      <c r="SJN46" s="473"/>
      <c r="SJO46" s="473"/>
      <c r="SJP46" s="473"/>
      <c r="SJQ46" s="473"/>
      <c r="SJR46" s="473"/>
      <c r="SJS46" s="473"/>
      <c r="SJT46" s="473"/>
      <c r="SJU46" s="473"/>
      <c r="SJV46" s="473"/>
      <c r="SJW46" s="473"/>
      <c r="SJX46" s="473"/>
      <c r="SJY46" s="473"/>
      <c r="SJZ46" s="473"/>
      <c r="SKA46" s="473"/>
      <c r="SKB46" s="473"/>
      <c r="SKC46" s="473"/>
      <c r="SKD46" s="473"/>
      <c r="SKE46" s="473"/>
      <c r="SKF46" s="473"/>
      <c r="SKG46" s="473"/>
      <c r="SKH46" s="473"/>
      <c r="SKI46" s="473"/>
      <c r="SKJ46" s="473"/>
      <c r="SKK46" s="473"/>
      <c r="SKL46" s="473"/>
      <c r="SKM46" s="473"/>
      <c r="SKN46" s="473"/>
      <c r="SKO46" s="473"/>
      <c r="SKP46" s="473"/>
      <c r="SKQ46" s="473"/>
      <c r="SKR46" s="473"/>
      <c r="SKS46" s="473"/>
      <c r="SKT46" s="473"/>
      <c r="SKU46" s="473"/>
      <c r="SKV46" s="473"/>
      <c r="SKW46" s="473"/>
      <c r="SKX46" s="473"/>
      <c r="SKY46" s="473"/>
      <c r="SKZ46" s="473"/>
      <c r="SLA46" s="473"/>
      <c r="SLB46" s="473"/>
      <c r="SLC46" s="473"/>
      <c r="SLD46" s="473"/>
      <c r="SLE46" s="473"/>
      <c r="SLF46" s="473"/>
      <c r="SLG46" s="473"/>
      <c r="SLH46" s="473"/>
      <c r="SLI46" s="473"/>
      <c r="SLJ46" s="473"/>
      <c r="SLK46" s="473"/>
      <c r="SLL46" s="473"/>
      <c r="SLM46" s="473"/>
      <c r="SLN46" s="473"/>
      <c r="SLO46" s="473"/>
      <c r="SLP46" s="473"/>
      <c r="SLQ46" s="473"/>
      <c r="SLR46" s="473"/>
      <c r="SLS46" s="473"/>
      <c r="SLT46" s="473"/>
      <c r="SLU46" s="473"/>
      <c r="SLV46" s="473"/>
      <c r="SLW46" s="473"/>
      <c r="SLX46" s="473"/>
      <c r="SLY46" s="473"/>
      <c r="SLZ46" s="473"/>
      <c r="SMA46" s="473"/>
      <c r="SMB46" s="473"/>
      <c r="SMC46" s="473"/>
      <c r="SMD46" s="473"/>
      <c r="SME46" s="473"/>
      <c r="SMF46" s="473"/>
      <c r="SMG46" s="473"/>
      <c r="SMH46" s="473"/>
      <c r="SMI46" s="473"/>
      <c r="SMJ46" s="473"/>
      <c r="SMK46" s="473"/>
      <c r="SML46" s="473"/>
      <c r="SMM46" s="473"/>
      <c r="SMN46" s="473"/>
      <c r="SMO46" s="473"/>
      <c r="SMP46" s="473"/>
      <c r="SMQ46" s="473"/>
      <c r="SMR46" s="473"/>
      <c r="SMS46" s="473"/>
      <c r="SMT46" s="473"/>
      <c r="SMU46" s="473"/>
      <c r="SMV46" s="473"/>
      <c r="SMW46" s="473"/>
      <c r="SMX46" s="473"/>
      <c r="SMY46" s="473"/>
      <c r="SMZ46" s="473"/>
      <c r="SNA46" s="473"/>
      <c r="SNB46" s="473"/>
      <c r="SNC46" s="473"/>
      <c r="SND46" s="473"/>
      <c r="SNE46" s="473"/>
      <c r="SNF46" s="473"/>
      <c r="SNG46" s="473"/>
      <c r="SNH46" s="473"/>
      <c r="SNI46" s="473"/>
      <c r="SNJ46" s="473"/>
      <c r="SNK46" s="473"/>
      <c r="SNL46" s="473"/>
      <c r="SNM46" s="473"/>
      <c r="SNN46" s="473"/>
      <c r="SNO46" s="473"/>
      <c r="SNP46" s="473"/>
      <c r="SNQ46" s="473"/>
      <c r="SNR46" s="473"/>
      <c r="SNS46" s="473"/>
      <c r="SNT46" s="473"/>
      <c r="SNU46" s="473"/>
      <c r="SNV46" s="473"/>
      <c r="SNW46" s="473"/>
      <c r="SNX46" s="473"/>
      <c r="SNY46" s="473"/>
      <c r="SNZ46" s="473"/>
      <c r="SOA46" s="473"/>
      <c r="SOB46" s="473"/>
      <c r="SOC46" s="473"/>
      <c r="SOD46" s="473"/>
      <c r="SOE46" s="473"/>
      <c r="SOF46" s="473"/>
      <c r="SOG46" s="473"/>
      <c r="SOH46" s="473"/>
      <c r="SOI46" s="473"/>
      <c r="SOJ46" s="473"/>
      <c r="SOK46" s="473"/>
      <c r="SOL46" s="473"/>
      <c r="SOM46" s="473"/>
      <c r="SON46" s="473"/>
      <c r="SOO46" s="473"/>
      <c r="SOP46" s="473"/>
      <c r="SOQ46" s="473"/>
      <c r="SOR46" s="473"/>
      <c r="SOS46" s="473"/>
      <c r="SOT46" s="473"/>
      <c r="SOU46" s="473"/>
      <c r="SOV46" s="473"/>
      <c r="SOW46" s="473"/>
      <c r="SOX46" s="473"/>
      <c r="SOY46" s="473"/>
      <c r="SOZ46" s="473"/>
      <c r="SPA46" s="473"/>
      <c r="SPB46" s="473"/>
      <c r="SPC46" s="473"/>
      <c r="SPD46" s="473"/>
      <c r="SPE46" s="473"/>
      <c r="SPF46" s="473"/>
      <c r="SPG46" s="473"/>
      <c r="SPH46" s="473"/>
      <c r="SPI46" s="473"/>
      <c r="SPJ46" s="473"/>
      <c r="SPK46" s="473"/>
      <c r="SPL46" s="473"/>
      <c r="SPM46" s="473"/>
      <c r="SPN46" s="473"/>
      <c r="SPO46" s="473"/>
      <c r="SPP46" s="473"/>
      <c r="SPQ46" s="473"/>
      <c r="SPR46" s="473"/>
      <c r="SPS46" s="473"/>
      <c r="SPT46" s="473"/>
      <c r="SPU46" s="473"/>
      <c r="SPV46" s="473"/>
      <c r="SPW46" s="473"/>
      <c r="SPX46" s="473"/>
      <c r="SPY46" s="473"/>
      <c r="SPZ46" s="473"/>
      <c r="SQA46" s="473"/>
      <c r="SQB46" s="473"/>
      <c r="SQC46" s="473"/>
      <c r="SQD46" s="473"/>
      <c r="SQE46" s="473"/>
      <c r="SQF46" s="473"/>
      <c r="SQG46" s="473"/>
      <c r="SQH46" s="473"/>
      <c r="SQI46" s="473"/>
      <c r="SQJ46" s="473"/>
      <c r="SQK46" s="473"/>
      <c r="SQL46" s="473"/>
      <c r="SQM46" s="473"/>
      <c r="SQN46" s="473"/>
      <c r="SQO46" s="473"/>
      <c r="SQP46" s="473"/>
      <c r="SQQ46" s="473"/>
      <c r="SQR46" s="473"/>
      <c r="SQS46" s="473"/>
      <c r="SQT46" s="473"/>
      <c r="SQU46" s="473"/>
      <c r="SQV46" s="473"/>
      <c r="SQW46" s="473"/>
      <c r="SQX46" s="473"/>
      <c r="SQY46" s="473"/>
      <c r="SQZ46" s="473"/>
      <c r="SRA46" s="473"/>
      <c r="SRB46" s="473"/>
      <c r="SRC46" s="473"/>
      <c r="SRD46" s="473"/>
      <c r="SRE46" s="473"/>
      <c r="SRF46" s="473"/>
      <c r="SRG46" s="473"/>
      <c r="SRH46" s="473"/>
      <c r="SRI46" s="473"/>
      <c r="SRJ46" s="473"/>
      <c r="SRK46" s="473"/>
      <c r="SRL46" s="473"/>
      <c r="SRM46" s="473"/>
      <c r="SRN46" s="473"/>
      <c r="SRO46" s="473"/>
      <c r="SRP46" s="473"/>
      <c r="SRQ46" s="473"/>
      <c r="SRR46" s="473"/>
      <c r="SRS46" s="473"/>
      <c r="SRT46" s="473"/>
      <c r="SRU46" s="473"/>
      <c r="SRV46" s="473"/>
      <c r="SRW46" s="473"/>
      <c r="SRX46" s="473"/>
      <c r="SRY46" s="473"/>
      <c r="SRZ46" s="473"/>
      <c r="SSA46" s="473"/>
      <c r="SSB46" s="473"/>
      <c r="SSC46" s="473"/>
      <c r="SSD46" s="473"/>
      <c r="SSE46" s="473"/>
      <c r="SSF46" s="473"/>
      <c r="SSG46" s="473"/>
      <c r="SSH46" s="473"/>
      <c r="SSI46" s="473"/>
      <c r="SSJ46" s="473"/>
      <c r="SSK46" s="473"/>
      <c r="SSL46" s="473"/>
      <c r="SSM46" s="473"/>
      <c r="SSN46" s="473"/>
      <c r="SSO46" s="473"/>
      <c r="SSP46" s="473"/>
      <c r="SSQ46" s="473"/>
      <c r="SSR46" s="473"/>
      <c r="SSS46" s="473"/>
      <c r="SST46" s="473"/>
      <c r="SSU46" s="473"/>
      <c r="SSV46" s="473"/>
      <c r="SSW46" s="473"/>
      <c r="SSX46" s="473"/>
      <c r="SSY46" s="473"/>
      <c r="SSZ46" s="473"/>
      <c r="STA46" s="473"/>
      <c r="STB46" s="473"/>
      <c r="STC46" s="473"/>
      <c r="STD46" s="473"/>
      <c r="STE46" s="473"/>
      <c r="STF46" s="473"/>
      <c r="STG46" s="473"/>
      <c r="STH46" s="473"/>
      <c r="STI46" s="473"/>
      <c r="STJ46" s="473"/>
      <c r="STK46" s="473"/>
      <c r="STL46" s="473"/>
      <c r="STM46" s="473"/>
      <c r="STN46" s="473"/>
      <c r="STO46" s="473"/>
      <c r="STP46" s="473"/>
      <c r="STQ46" s="473"/>
      <c r="STR46" s="473"/>
      <c r="STS46" s="473"/>
      <c r="STT46" s="473"/>
      <c r="STU46" s="473"/>
      <c r="STV46" s="473"/>
      <c r="STW46" s="473"/>
      <c r="STX46" s="473"/>
      <c r="STY46" s="473"/>
      <c r="STZ46" s="473"/>
      <c r="SUA46" s="473"/>
      <c r="SUB46" s="473"/>
      <c r="SUC46" s="473"/>
      <c r="SUD46" s="473"/>
      <c r="SUE46" s="473"/>
      <c r="SUF46" s="473"/>
      <c r="SUG46" s="473"/>
      <c r="SUH46" s="473"/>
      <c r="SUI46" s="473"/>
      <c r="SUJ46" s="473"/>
      <c r="SUK46" s="473"/>
      <c r="SUL46" s="473"/>
      <c r="SUM46" s="473"/>
      <c r="SUN46" s="473"/>
      <c r="SUO46" s="473"/>
      <c r="SUP46" s="473"/>
      <c r="SUQ46" s="473"/>
      <c r="SUR46" s="473"/>
      <c r="SUS46" s="473"/>
      <c r="SUT46" s="473"/>
      <c r="SUU46" s="473"/>
      <c r="SUV46" s="473"/>
      <c r="SUW46" s="473"/>
      <c r="SUX46" s="473"/>
      <c r="SUY46" s="473"/>
      <c r="SUZ46" s="473"/>
      <c r="SVA46" s="473"/>
      <c r="SVB46" s="473"/>
      <c r="SVC46" s="473"/>
      <c r="SVD46" s="473"/>
      <c r="SVE46" s="473"/>
      <c r="SVF46" s="473"/>
      <c r="SVG46" s="473"/>
      <c r="SVH46" s="473"/>
      <c r="SVI46" s="473"/>
      <c r="SVJ46" s="473"/>
      <c r="SVK46" s="473"/>
      <c r="SVL46" s="473"/>
      <c r="SVM46" s="473"/>
      <c r="SVN46" s="473"/>
      <c r="SVO46" s="473"/>
      <c r="SVP46" s="473"/>
      <c r="SVQ46" s="473"/>
      <c r="SVR46" s="473"/>
      <c r="SVS46" s="473"/>
      <c r="SVT46" s="473"/>
      <c r="SVU46" s="473"/>
      <c r="SVV46" s="473"/>
      <c r="SVW46" s="473"/>
      <c r="SVX46" s="473"/>
      <c r="SVY46" s="473"/>
      <c r="SVZ46" s="473"/>
      <c r="SWA46" s="473"/>
      <c r="SWB46" s="473"/>
      <c r="SWC46" s="473"/>
      <c r="SWD46" s="473"/>
      <c r="SWE46" s="473"/>
      <c r="SWF46" s="473"/>
      <c r="SWG46" s="473"/>
      <c r="SWH46" s="473"/>
      <c r="SWI46" s="473"/>
      <c r="SWJ46" s="473"/>
      <c r="SWK46" s="473"/>
      <c r="SWL46" s="473"/>
      <c r="SWM46" s="473"/>
      <c r="SWN46" s="473"/>
      <c r="SWO46" s="473"/>
      <c r="SWP46" s="473"/>
      <c r="SWQ46" s="473"/>
      <c r="SWR46" s="473"/>
      <c r="SWS46" s="473"/>
      <c r="SWT46" s="473"/>
      <c r="SWU46" s="473"/>
      <c r="SWV46" s="473"/>
      <c r="SWW46" s="473"/>
      <c r="SWX46" s="473"/>
      <c r="SWY46" s="473"/>
      <c r="SWZ46" s="473"/>
      <c r="SXA46" s="473"/>
      <c r="SXB46" s="473"/>
      <c r="SXC46" s="473"/>
      <c r="SXD46" s="473"/>
      <c r="SXE46" s="473"/>
      <c r="SXF46" s="473"/>
      <c r="SXG46" s="473"/>
      <c r="SXH46" s="473"/>
      <c r="SXI46" s="473"/>
      <c r="SXJ46" s="473"/>
      <c r="SXK46" s="473"/>
      <c r="SXL46" s="473"/>
      <c r="SXM46" s="473"/>
      <c r="SXN46" s="473"/>
      <c r="SXO46" s="473"/>
      <c r="SXP46" s="473"/>
      <c r="SXQ46" s="473"/>
      <c r="SXR46" s="473"/>
      <c r="SXS46" s="473"/>
      <c r="SXT46" s="473"/>
      <c r="SXU46" s="473"/>
      <c r="SXV46" s="473"/>
      <c r="SXW46" s="473"/>
      <c r="SXX46" s="473"/>
      <c r="SXY46" s="473"/>
      <c r="SXZ46" s="473"/>
      <c r="SYA46" s="473"/>
      <c r="SYB46" s="473"/>
      <c r="SYC46" s="473"/>
      <c r="SYD46" s="473"/>
      <c r="SYE46" s="473"/>
      <c r="SYF46" s="473"/>
      <c r="SYG46" s="473"/>
      <c r="SYH46" s="473"/>
      <c r="SYI46" s="473"/>
      <c r="SYJ46" s="473"/>
      <c r="SYK46" s="473"/>
      <c r="SYL46" s="473"/>
      <c r="SYM46" s="473"/>
      <c r="SYN46" s="473"/>
      <c r="SYO46" s="473"/>
      <c r="SYP46" s="473"/>
      <c r="SYQ46" s="473"/>
      <c r="SYR46" s="473"/>
      <c r="SYS46" s="473"/>
      <c r="SYT46" s="473"/>
      <c r="SYU46" s="473"/>
      <c r="SYV46" s="473"/>
      <c r="SYW46" s="473"/>
      <c r="SYX46" s="473"/>
      <c r="SYY46" s="473"/>
      <c r="SYZ46" s="473"/>
      <c r="SZA46" s="473"/>
      <c r="SZB46" s="473"/>
      <c r="SZC46" s="473"/>
      <c r="SZD46" s="473"/>
      <c r="SZE46" s="473"/>
      <c r="SZF46" s="473"/>
      <c r="SZG46" s="473"/>
      <c r="SZH46" s="473"/>
      <c r="SZI46" s="473"/>
      <c r="SZJ46" s="473"/>
      <c r="SZK46" s="473"/>
      <c r="SZL46" s="473"/>
      <c r="SZM46" s="473"/>
      <c r="SZN46" s="473"/>
      <c r="SZO46" s="473"/>
      <c r="SZP46" s="473"/>
      <c r="SZQ46" s="473"/>
      <c r="SZR46" s="473"/>
      <c r="SZS46" s="473"/>
      <c r="SZT46" s="473"/>
      <c r="SZU46" s="473"/>
      <c r="SZV46" s="473"/>
      <c r="SZW46" s="473"/>
      <c r="SZX46" s="473"/>
      <c r="SZY46" s="473"/>
      <c r="SZZ46" s="473"/>
      <c r="TAA46" s="473"/>
      <c r="TAB46" s="473"/>
      <c r="TAC46" s="473"/>
      <c r="TAD46" s="473"/>
      <c r="TAE46" s="473"/>
      <c r="TAF46" s="473"/>
      <c r="TAG46" s="473"/>
      <c r="TAH46" s="473"/>
      <c r="TAI46" s="473"/>
      <c r="TAJ46" s="473"/>
      <c r="TAK46" s="473"/>
      <c r="TAL46" s="473"/>
      <c r="TAM46" s="473"/>
      <c r="TAN46" s="473"/>
      <c r="TAO46" s="473"/>
      <c r="TAP46" s="473"/>
      <c r="TAQ46" s="473"/>
      <c r="TAR46" s="473"/>
      <c r="TAS46" s="473"/>
      <c r="TAT46" s="473"/>
      <c r="TAU46" s="473"/>
      <c r="TAV46" s="473"/>
      <c r="TAW46" s="473"/>
      <c r="TAX46" s="473"/>
      <c r="TAY46" s="473"/>
      <c r="TAZ46" s="473"/>
      <c r="TBA46" s="473"/>
      <c r="TBB46" s="473"/>
      <c r="TBC46" s="473"/>
      <c r="TBD46" s="473"/>
      <c r="TBE46" s="473"/>
      <c r="TBF46" s="473"/>
      <c r="TBG46" s="473"/>
      <c r="TBH46" s="473"/>
      <c r="TBI46" s="473"/>
      <c r="TBJ46" s="473"/>
      <c r="TBK46" s="473"/>
      <c r="TBL46" s="473"/>
      <c r="TBM46" s="473"/>
      <c r="TBN46" s="473"/>
      <c r="TBO46" s="473"/>
      <c r="TBP46" s="473"/>
      <c r="TBQ46" s="473"/>
      <c r="TBR46" s="473"/>
      <c r="TBS46" s="473"/>
      <c r="TBT46" s="473"/>
      <c r="TBU46" s="473"/>
      <c r="TBV46" s="473"/>
      <c r="TBW46" s="473"/>
      <c r="TBX46" s="473"/>
      <c r="TBY46" s="473"/>
      <c r="TBZ46" s="473"/>
      <c r="TCA46" s="473"/>
      <c r="TCB46" s="473"/>
      <c r="TCC46" s="473"/>
      <c r="TCD46" s="473"/>
      <c r="TCE46" s="473"/>
      <c r="TCF46" s="473"/>
      <c r="TCG46" s="473"/>
      <c r="TCH46" s="473"/>
      <c r="TCI46" s="473"/>
      <c r="TCJ46" s="473"/>
      <c r="TCK46" s="473"/>
      <c r="TCL46" s="473"/>
      <c r="TCM46" s="473"/>
      <c r="TCN46" s="473"/>
      <c r="TCO46" s="473"/>
      <c r="TCP46" s="473"/>
      <c r="TCQ46" s="473"/>
      <c r="TCR46" s="473"/>
      <c r="TCS46" s="473"/>
      <c r="TCT46" s="473"/>
      <c r="TCU46" s="473"/>
      <c r="TCV46" s="473"/>
      <c r="TCW46" s="473"/>
      <c r="TCX46" s="473"/>
      <c r="TCY46" s="473"/>
      <c r="TCZ46" s="473"/>
      <c r="TDA46" s="473"/>
      <c r="TDB46" s="473"/>
      <c r="TDC46" s="473"/>
      <c r="TDD46" s="473"/>
      <c r="TDE46" s="473"/>
      <c r="TDF46" s="473"/>
      <c r="TDG46" s="473"/>
      <c r="TDH46" s="473"/>
      <c r="TDI46" s="473"/>
      <c r="TDJ46" s="473"/>
      <c r="TDK46" s="473"/>
      <c r="TDL46" s="473"/>
      <c r="TDM46" s="473"/>
      <c r="TDN46" s="473"/>
      <c r="TDO46" s="473"/>
      <c r="TDP46" s="473"/>
      <c r="TDQ46" s="473"/>
      <c r="TDR46" s="473"/>
      <c r="TDS46" s="473"/>
      <c r="TDT46" s="473"/>
      <c r="TDU46" s="473"/>
      <c r="TDV46" s="473"/>
      <c r="TDW46" s="473"/>
      <c r="TDX46" s="473"/>
      <c r="TDY46" s="473"/>
      <c r="TDZ46" s="473"/>
      <c r="TEA46" s="473"/>
      <c r="TEB46" s="473"/>
      <c r="TEC46" s="473"/>
      <c r="TED46" s="473"/>
      <c r="TEE46" s="473"/>
      <c r="TEF46" s="473"/>
      <c r="TEG46" s="473"/>
      <c r="TEH46" s="473"/>
      <c r="TEI46" s="473"/>
      <c r="TEJ46" s="473"/>
      <c r="TEK46" s="473"/>
      <c r="TEL46" s="473"/>
      <c r="TEM46" s="473"/>
      <c r="TEN46" s="473"/>
      <c r="TEO46" s="473"/>
      <c r="TEP46" s="473"/>
      <c r="TEQ46" s="473"/>
      <c r="TER46" s="473"/>
      <c r="TES46" s="473"/>
      <c r="TET46" s="473"/>
      <c r="TEU46" s="473"/>
      <c r="TEV46" s="473"/>
      <c r="TEW46" s="473"/>
      <c r="TEX46" s="473"/>
      <c r="TEY46" s="473"/>
      <c r="TEZ46" s="473"/>
      <c r="TFA46" s="473"/>
      <c r="TFB46" s="473"/>
      <c r="TFC46" s="473"/>
      <c r="TFD46" s="473"/>
      <c r="TFE46" s="473"/>
      <c r="TFF46" s="473"/>
      <c r="TFG46" s="473"/>
      <c r="TFH46" s="473"/>
      <c r="TFI46" s="473"/>
      <c r="TFJ46" s="473"/>
      <c r="TFK46" s="473"/>
      <c r="TFL46" s="473"/>
      <c r="TFM46" s="473"/>
      <c r="TFN46" s="473"/>
      <c r="TFO46" s="473"/>
      <c r="TFP46" s="473"/>
      <c r="TFQ46" s="473"/>
      <c r="TFR46" s="473"/>
      <c r="TFS46" s="473"/>
      <c r="TFT46" s="473"/>
      <c r="TFU46" s="473"/>
      <c r="TFV46" s="473"/>
      <c r="TFW46" s="473"/>
      <c r="TFX46" s="473"/>
      <c r="TFY46" s="473"/>
      <c r="TFZ46" s="473"/>
      <c r="TGA46" s="473"/>
      <c r="TGB46" s="473"/>
      <c r="TGC46" s="473"/>
      <c r="TGD46" s="473"/>
      <c r="TGE46" s="473"/>
      <c r="TGF46" s="473"/>
      <c r="TGG46" s="473"/>
      <c r="TGH46" s="473"/>
      <c r="TGI46" s="473"/>
      <c r="TGJ46" s="473"/>
      <c r="TGK46" s="473"/>
      <c r="TGL46" s="473"/>
      <c r="TGM46" s="473"/>
      <c r="TGN46" s="473"/>
      <c r="TGO46" s="473"/>
      <c r="TGP46" s="473"/>
      <c r="TGQ46" s="473"/>
      <c r="TGR46" s="473"/>
      <c r="TGS46" s="473"/>
      <c r="TGT46" s="473"/>
      <c r="TGU46" s="473"/>
      <c r="TGV46" s="473"/>
      <c r="TGW46" s="473"/>
      <c r="TGX46" s="473"/>
      <c r="TGY46" s="473"/>
      <c r="TGZ46" s="473"/>
      <c r="THA46" s="473"/>
      <c r="THB46" s="473"/>
      <c r="THC46" s="473"/>
      <c r="THD46" s="473"/>
      <c r="THE46" s="473"/>
      <c r="THF46" s="473"/>
      <c r="THG46" s="473"/>
      <c r="THH46" s="473"/>
      <c r="THI46" s="473"/>
      <c r="THJ46" s="473"/>
      <c r="THK46" s="473"/>
      <c r="THL46" s="473"/>
      <c r="THM46" s="473"/>
      <c r="THN46" s="473"/>
      <c r="THO46" s="473"/>
      <c r="THP46" s="473"/>
      <c r="THQ46" s="473"/>
      <c r="THR46" s="473"/>
      <c r="THS46" s="473"/>
      <c r="THT46" s="473"/>
      <c r="THU46" s="473"/>
      <c r="THV46" s="473"/>
      <c r="THW46" s="473"/>
      <c r="THX46" s="473"/>
      <c r="THY46" s="473"/>
      <c r="THZ46" s="473"/>
      <c r="TIA46" s="473"/>
      <c r="TIB46" s="473"/>
      <c r="TIC46" s="473"/>
      <c r="TID46" s="473"/>
      <c r="TIE46" s="473"/>
      <c r="TIF46" s="473"/>
      <c r="TIG46" s="473"/>
      <c r="TIH46" s="473"/>
      <c r="TII46" s="473"/>
      <c r="TIJ46" s="473"/>
      <c r="TIK46" s="473"/>
      <c r="TIL46" s="473"/>
      <c r="TIM46" s="473"/>
      <c r="TIN46" s="473"/>
      <c r="TIO46" s="473"/>
      <c r="TIP46" s="473"/>
      <c r="TIQ46" s="473"/>
      <c r="TIR46" s="473"/>
      <c r="TIS46" s="473"/>
      <c r="TIT46" s="473"/>
      <c r="TIU46" s="473"/>
      <c r="TIV46" s="473"/>
      <c r="TIW46" s="473"/>
      <c r="TIX46" s="473"/>
      <c r="TIY46" s="473"/>
      <c r="TIZ46" s="473"/>
      <c r="TJA46" s="473"/>
      <c r="TJB46" s="473"/>
      <c r="TJC46" s="473"/>
      <c r="TJD46" s="473"/>
      <c r="TJE46" s="473"/>
      <c r="TJF46" s="473"/>
      <c r="TJG46" s="473"/>
      <c r="TJH46" s="473"/>
      <c r="TJI46" s="473"/>
      <c r="TJJ46" s="473"/>
      <c r="TJK46" s="473"/>
      <c r="TJL46" s="473"/>
      <c r="TJM46" s="473"/>
      <c r="TJN46" s="473"/>
      <c r="TJO46" s="473"/>
      <c r="TJP46" s="473"/>
      <c r="TJQ46" s="473"/>
      <c r="TJR46" s="473"/>
      <c r="TJS46" s="473"/>
      <c r="TJT46" s="473"/>
      <c r="TJU46" s="473"/>
      <c r="TJV46" s="473"/>
      <c r="TJW46" s="473"/>
      <c r="TJX46" s="473"/>
      <c r="TJY46" s="473"/>
      <c r="TJZ46" s="473"/>
      <c r="TKA46" s="473"/>
      <c r="TKB46" s="473"/>
      <c r="TKC46" s="473"/>
      <c r="TKD46" s="473"/>
      <c r="TKE46" s="473"/>
      <c r="TKF46" s="473"/>
      <c r="TKG46" s="473"/>
      <c r="TKH46" s="473"/>
      <c r="TKI46" s="473"/>
      <c r="TKJ46" s="473"/>
      <c r="TKK46" s="473"/>
      <c r="TKL46" s="473"/>
      <c r="TKM46" s="473"/>
      <c r="TKN46" s="473"/>
      <c r="TKO46" s="473"/>
      <c r="TKP46" s="473"/>
      <c r="TKQ46" s="473"/>
      <c r="TKR46" s="473"/>
      <c r="TKS46" s="473"/>
      <c r="TKT46" s="473"/>
      <c r="TKU46" s="473"/>
      <c r="TKV46" s="473"/>
      <c r="TKW46" s="473"/>
      <c r="TKX46" s="473"/>
      <c r="TKY46" s="473"/>
      <c r="TKZ46" s="473"/>
      <c r="TLA46" s="473"/>
      <c r="TLB46" s="473"/>
      <c r="TLC46" s="473"/>
      <c r="TLD46" s="473"/>
      <c r="TLE46" s="473"/>
      <c r="TLF46" s="473"/>
      <c r="TLG46" s="473"/>
      <c r="TLH46" s="473"/>
      <c r="TLI46" s="473"/>
      <c r="TLJ46" s="473"/>
      <c r="TLK46" s="473"/>
      <c r="TLL46" s="473"/>
      <c r="TLM46" s="473"/>
      <c r="TLN46" s="473"/>
      <c r="TLO46" s="473"/>
      <c r="TLP46" s="473"/>
      <c r="TLQ46" s="473"/>
      <c r="TLR46" s="473"/>
      <c r="TLS46" s="473"/>
      <c r="TLT46" s="473"/>
      <c r="TLU46" s="473"/>
      <c r="TLV46" s="473"/>
      <c r="TLW46" s="473"/>
      <c r="TLX46" s="473"/>
      <c r="TLY46" s="473"/>
      <c r="TLZ46" s="473"/>
      <c r="TMA46" s="473"/>
      <c r="TMB46" s="473"/>
      <c r="TMC46" s="473"/>
      <c r="TMD46" s="473"/>
      <c r="TME46" s="473"/>
      <c r="TMF46" s="473"/>
      <c r="TMG46" s="473"/>
      <c r="TMH46" s="473"/>
      <c r="TMI46" s="473"/>
      <c r="TMJ46" s="473"/>
      <c r="TMK46" s="473"/>
      <c r="TML46" s="473"/>
      <c r="TMM46" s="473"/>
      <c r="TMN46" s="473"/>
      <c r="TMO46" s="473"/>
      <c r="TMP46" s="473"/>
      <c r="TMQ46" s="473"/>
      <c r="TMR46" s="473"/>
      <c r="TMS46" s="473"/>
      <c r="TMT46" s="473"/>
      <c r="TMU46" s="473"/>
      <c r="TMV46" s="473"/>
      <c r="TMW46" s="473"/>
      <c r="TMX46" s="473"/>
      <c r="TMY46" s="473"/>
      <c r="TMZ46" s="473"/>
      <c r="TNA46" s="473"/>
      <c r="TNB46" s="473"/>
      <c r="TNC46" s="473"/>
      <c r="TND46" s="473"/>
      <c r="TNE46" s="473"/>
      <c r="TNF46" s="473"/>
      <c r="TNG46" s="473"/>
      <c r="TNH46" s="473"/>
      <c r="TNI46" s="473"/>
      <c r="TNJ46" s="473"/>
      <c r="TNK46" s="473"/>
      <c r="TNL46" s="473"/>
      <c r="TNM46" s="473"/>
      <c r="TNN46" s="473"/>
      <c r="TNO46" s="473"/>
      <c r="TNP46" s="473"/>
      <c r="TNQ46" s="473"/>
      <c r="TNR46" s="473"/>
      <c r="TNS46" s="473"/>
      <c r="TNT46" s="473"/>
      <c r="TNU46" s="473"/>
      <c r="TNV46" s="473"/>
      <c r="TNW46" s="473"/>
      <c r="TNX46" s="473"/>
      <c r="TNY46" s="473"/>
      <c r="TNZ46" s="473"/>
      <c r="TOA46" s="473"/>
      <c r="TOB46" s="473"/>
      <c r="TOC46" s="473"/>
      <c r="TOD46" s="473"/>
      <c r="TOE46" s="473"/>
      <c r="TOF46" s="473"/>
      <c r="TOG46" s="473"/>
      <c r="TOH46" s="473"/>
      <c r="TOI46" s="473"/>
      <c r="TOJ46" s="473"/>
      <c r="TOK46" s="473"/>
      <c r="TOL46" s="473"/>
      <c r="TOM46" s="473"/>
      <c r="TON46" s="473"/>
      <c r="TOO46" s="473"/>
      <c r="TOP46" s="473"/>
      <c r="TOQ46" s="473"/>
      <c r="TOR46" s="473"/>
      <c r="TOS46" s="473"/>
      <c r="TOT46" s="473"/>
      <c r="TOU46" s="473"/>
      <c r="TOV46" s="473"/>
      <c r="TOW46" s="473"/>
      <c r="TOX46" s="473"/>
      <c r="TOY46" s="473"/>
      <c r="TOZ46" s="473"/>
      <c r="TPA46" s="473"/>
      <c r="TPB46" s="473"/>
      <c r="TPC46" s="473"/>
      <c r="TPD46" s="473"/>
      <c r="TPE46" s="473"/>
      <c r="TPF46" s="473"/>
      <c r="TPG46" s="473"/>
      <c r="TPH46" s="473"/>
      <c r="TPI46" s="473"/>
      <c r="TPJ46" s="473"/>
      <c r="TPK46" s="473"/>
      <c r="TPL46" s="473"/>
      <c r="TPM46" s="473"/>
      <c r="TPN46" s="473"/>
      <c r="TPO46" s="473"/>
      <c r="TPP46" s="473"/>
      <c r="TPQ46" s="473"/>
      <c r="TPR46" s="473"/>
      <c r="TPS46" s="473"/>
      <c r="TPT46" s="473"/>
      <c r="TPU46" s="473"/>
      <c r="TPV46" s="473"/>
      <c r="TPW46" s="473"/>
      <c r="TPX46" s="473"/>
      <c r="TPY46" s="473"/>
      <c r="TPZ46" s="473"/>
      <c r="TQA46" s="473"/>
      <c r="TQB46" s="473"/>
      <c r="TQC46" s="473"/>
      <c r="TQD46" s="473"/>
      <c r="TQE46" s="473"/>
      <c r="TQF46" s="473"/>
      <c r="TQG46" s="473"/>
      <c r="TQH46" s="473"/>
      <c r="TQI46" s="473"/>
      <c r="TQJ46" s="473"/>
      <c r="TQK46" s="473"/>
      <c r="TQL46" s="473"/>
      <c r="TQM46" s="473"/>
      <c r="TQN46" s="473"/>
      <c r="TQO46" s="473"/>
      <c r="TQP46" s="473"/>
      <c r="TQQ46" s="473"/>
      <c r="TQR46" s="473"/>
      <c r="TQS46" s="473"/>
      <c r="TQT46" s="473"/>
      <c r="TQU46" s="473"/>
      <c r="TQV46" s="473"/>
      <c r="TQW46" s="473"/>
      <c r="TQX46" s="473"/>
      <c r="TQY46" s="473"/>
      <c r="TQZ46" s="473"/>
      <c r="TRA46" s="473"/>
      <c r="TRB46" s="473"/>
      <c r="TRC46" s="473"/>
      <c r="TRD46" s="473"/>
      <c r="TRE46" s="473"/>
      <c r="TRF46" s="473"/>
      <c r="TRG46" s="473"/>
      <c r="TRH46" s="473"/>
      <c r="TRI46" s="473"/>
      <c r="TRJ46" s="473"/>
      <c r="TRK46" s="473"/>
      <c r="TRL46" s="473"/>
      <c r="TRM46" s="473"/>
      <c r="TRN46" s="473"/>
      <c r="TRO46" s="473"/>
      <c r="TRP46" s="473"/>
      <c r="TRQ46" s="473"/>
      <c r="TRR46" s="473"/>
      <c r="TRS46" s="473"/>
      <c r="TRT46" s="473"/>
      <c r="TRU46" s="473"/>
      <c r="TRV46" s="473"/>
      <c r="TRW46" s="473"/>
      <c r="TRX46" s="473"/>
      <c r="TRY46" s="473"/>
      <c r="TRZ46" s="473"/>
      <c r="TSA46" s="473"/>
      <c r="TSB46" s="473"/>
      <c r="TSC46" s="473"/>
      <c r="TSD46" s="473"/>
      <c r="TSE46" s="473"/>
      <c r="TSF46" s="473"/>
      <c r="TSG46" s="473"/>
      <c r="TSH46" s="473"/>
      <c r="TSI46" s="473"/>
      <c r="TSJ46" s="473"/>
      <c r="TSK46" s="473"/>
      <c r="TSL46" s="473"/>
      <c r="TSM46" s="473"/>
      <c r="TSN46" s="473"/>
      <c r="TSO46" s="473"/>
      <c r="TSP46" s="473"/>
      <c r="TSQ46" s="473"/>
      <c r="TSR46" s="473"/>
      <c r="TSS46" s="473"/>
      <c r="TST46" s="473"/>
      <c r="TSU46" s="473"/>
      <c r="TSV46" s="473"/>
      <c r="TSW46" s="473"/>
      <c r="TSX46" s="473"/>
      <c r="TSY46" s="473"/>
      <c r="TSZ46" s="473"/>
      <c r="TTA46" s="473"/>
      <c r="TTB46" s="473"/>
      <c r="TTC46" s="473"/>
      <c r="TTD46" s="473"/>
      <c r="TTE46" s="473"/>
      <c r="TTF46" s="473"/>
      <c r="TTG46" s="473"/>
      <c r="TTH46" s="473"/>
      <c r="TTI46" s="473"/>
      <c r="TTJ46" s="473"/>
      <c r="TTK46" s="473"/>
      <c r="TTL46" s="473"/>
      <c r="TTM46" s="473"/>
      <c r="TTN46" s="473"/>
      <c r="TTO46" s="473"/>
      <c r="TTP46" s="473"/>
      <c r="TTQ46" s="473"/>
      <c r="TTR46" s="473"/>
      <c r="TTS46" s="473"/>
      <c r="TTT46" s="473"/>
      <c r="TTU46" s="473"/>
      <c r="TTV46" s="473"/>
      <c r="TTW46" s="473"/>
      <c r="TTX46" s="473"/>
      <c r="TTY46" s="473"/>
      <c r="TTZ46" s="473"/>
      <c r="TUA46" s="473"/>
      <c r="TUB46" s="473"/>
      <c r="TUC46" s="473"/>
      <c r="TUD46" s="473"/>
      <c r="TUE46" s="473"/>
      <c r="TUF46" s="473"/>
      <c r="TUG46" s="473"/>
      <c r="TUH46" s="473"/>
      <c r="TUI46" s="473"/>
      <c r="TUJ46" s="473"/>
      <c r="TUK46" s="473"/>
      <c r="TUL46" s="473"/>
      <c r="TUM46" s="473"/>
      <c r="TUN46" s="473"/>
      <c r="TUO46" s="473"/>
      <c r="TUP46" s="473"/>
      <c r="TUQ46" s="473"/>
      <c r="TUR46" s="473"/>
      <c r="TUS46" s="473"/>
      <c r="TUT46" s="473"/>
      <c r="TUU46" s="473"/>
      <c r="TUV46" s="473"/>
      <c r="TUW46" s="473"/>
      <c r="TUX46" s="473"/>
      <c r="TUY46" s="473"/>
      <c r="TUZ46" s="473"/>
      <c r="TVA46" s="473"/>
      <c r="TVB46" s="473"/>
      <c r="TVC46" s="473"/>
      <c r="TVD46" s="473"/>
      <c r="TVE46" s="473"/>
      <c r="TVF46" s="473"/>
      <c r="TVG46" s="473"/>
      <c r="TVH46" s="473"/>
      <c r="TVI46" s="473"/>
      <c r="TVJ46" s="473"/>
      <c r="TVK46" s="473"/>
      <c r="TVL46" s="473"/>
      <c r="TVM46" s="473"/>
      <c r="TVN46" s="473"/>
      <c r="TVO46" s="473"/>
      <c r="TVP46" s="473"/>
      <c r="TVQ46" s="473"/>
      <c r="TVR46" s="473"/>
      <c r="TVS46" s="473"/>
      <c r="TVT46" s="473"/>
      <c r="TVU46" s="473"/>
      <c r="TVV46" s="473"/>
      <c r="TVW46" s="473"/>
      <c r="TVX46" s="473"/>
      <c r="TVY46" s="473"/>
      <c r="TVZ46" s="473"/>
      <c r="TWA46" s="473"/>
      <c r="TWB46" s="473"/>
      <c r="TWC46" s="473"/>
      <c r="TWD46" s="473"/>
      <c r="TWE46" s="473"/>
      <c r="TWF46" s="473"/>
      <c r="TWG46" s="473"/>
      <c r="TWH46" s="473"/>
      <c r="TWI46" s="473"/>
      <c r="TWJ46" s="473"/>
      <c r="TWK46" s="473"/>
      <c r="TWL46" s="473"/>
      <c r="TWM46" s="473"/>
      <c r="TWN46" s="473"/>
      <c r="TWO46" s="473"/>
      <c r="TWP46" s="473"/>
      <c r="TWQ46" s="473"/>
      <c r="TWR46" s="473"/>
      <c r="TWS46" s="473"/>
      <c r="TWT46" s="473"/>
      <c r="TWU46" s="473"/>
      <c r="TWV46" s="473"/>
      <c r="TWW46" s="473"/>
      <c r="TWX46" s="473"/>
      <c r="TWY46" s="473"/>
      <c r="TWZ46" s="473"/>
      <c r="TXA46" s="473"/>
      <c r="TXB46" s="473"/>
      <c r="TXC46" s="473"/>
      <c r="TXD46" s="473"/>
      <c r="TXE46" s="473"/>
      <c r="TXF46" s="473"/>
      <c r="TXG46" s="473"/>
      <c r="TXH46" s="473"/>
      <c r="TXI46" s="473"/>
      <c r="TXJ46" s="473"/>
      <c r="TXK46" s="473"/>
      <c r="TXL46" s="473"/>
      <c r="TXM46" s="473"/>
      <c r="TXN46" s="473"/>
      <c r="TXO46" s="473"/>
      <c r="TXP46" s="473"/>
      <c r="TXQ46" s="473"/>
      <c r="TXR46" s="473"/>
      <c r="TXS46" s="473"/>
      <c r="TXT46" s="473"/>
      <c r="TXU46" s="473"/>
      <c r="TXV46" s="473"/>
      <c r="TXW46" s="473"/>
      <c r="TXX46" s="473"/>
      <c r="TXY46" s="473"/>
      <c r="TXZ46" s="473"/>
      <c r="TYA46" s="473"/>
      <c r="TYB46" s="473"/>
      <c r="TYC46" s="473"/>
      <c r="TYD46" s="473"/>
      <c r="TYE46" s="473"/>
      <c r="TYF46" s="473"/>
      <c r="TYG46" s="473"/>
      <c r="TYH46" s="473"/>
      <c r="TYI46" s="473"/>
      <c r="TYJ46" s="473"/>
      <c r="TYK46" s="473"/>
      <c r="TYL46" s="473"/>
      <c r="TYM46" s="473"/>
      <c r="TYN46" s="473"/>
      <c r="TYO46" s="473"/>
      <c r="TYP46" s="473"/>
      <c r="TYQ46" s="473"/>
      <c r="TYR46" s="473"/>
      <c r="TYS46" s="473"/>
      <c r="TYT46" s="473"/>
      <c r="TYU46" s="473"/>
      <c r="TYV46" s="473"/>
      <c r="TYW46" s="473"/>
      <c r="TYX46" s="473"/>
      <c r="TYY46" s="473"/>
      <c r="TYZ46" s="473"/>
      <c r="TZA46" s="473"/>
      <c r="TZB46" s="473"/>
      <c r="TZC46" s="473"/>
      <c r="TZD46" s="473"/>
      <c r="TZE46" s="473"/>
      <c r="TZF46" s="473"/>
      <c r="TZG46" s="473"/>
      <c r="TZH46" s="473"/>
      <c r="TZI46" s="473"/>
      <c r="TZJ46" s="473"/>
      <c r="TZK46" s="473"/>
      <c r="TZL46" s="473"/>
      <c r="TZM46" s="473"/>
      <c r="TZN46" s="473"/>
      <c r="TZO46" s="473"/>
      <c r="TZP46" s="473"/>
      <c r="TZQ46" s="473"/>
      <c r="TZR46" s="473"/>
      <c r="TZS46" s="473"/>
      <c r="TZT46" s="473"/>
      <c r="TZU46" s="473"/>
      <c r="TZV46" s="473"/>
      <c r="TZW46" s="473"/>
      <c r="TZX46" s="473"/>
      <c r="TZY46" s="473"/>
      <c r="TZZ46" s="473"/>
      <c r="UAA46" s="473"/>
      <c r="UAB46" s="473"/>
      <c r="UAC46" s="473"/>
      <c r="UAD46" s="473"/>
      <c r="UAE46" s="473"/>
      <c r="UAF46" s="473"/>
      <c r="UAG46" s="473"/>
      <c r="UAH46" s="473"/>
      <c r="UAI46" s="473"/>
      <c r="UAJ46" s="473"/>
      <c r="UAK46" s="473"/>
      <c r="UAL46" s="473"/>
      <c r="UAM46" s="473"/>
      <c r="UAN46" s="473"/>
      <c r="UAO46" s="473"/>
      <c r="UAP46" s="473"/>
      <c r="UAQ46" s="473"/>
      <c r="UAR46" s="473"/>
      <c r="UAS46" s="473"/>
      <c r="UAT46" s="473"/>
      <c r="UAU46" s="473"/>
      <c r="UAV46" s="473"/>
      <c r="UAW46" s="473"/>
      <c r="UAX46" s="473"/>
      <c r="UAY46" s="473"/>
      <c r="UAZ46" s="473"/>
      <c r="UBA46" s="473"/>
      <c r="UBB46" s="473"/>
      <c r="UBC46" s="473"/>
      <c r="UBD46" s="473"/>
      <c r="UBE46" s="473"/>
      <c r="UBF46" s="473"/>
      <c r="UBG46" s="473"/>
      <c r="UBH46" s="473"/>
      <c r="UBI46" s="473"/>
      <c r="UBJ46" s="473"/>
      <c r="UBK46" s="473"/>
      <c r="UBL46" s="473"/>
      <c r="UBM46" s="473"/>
      <c r="UBN46" s="473"/>
      <c r="UBO46" s="473"/>
      <c r="UBP46" s="473"/>
      <c r="UBQ46" s="473"/>
      <c r="UBR46" s="473"/>
      <c r="UBS46" s="473"/>
      <c r="UBT46" s="473"/>
      <c r="UBU46" s="473"/>
      <c r="UBV46" s="473"/>
      <c r="UBW46" s="473"/>
      <c r="UBX46" s="473"/>
      <c r="UBY46" s="473"/>
      <c r="UBZ46" s="473"/>
      <c r="UCA46" s="473"/>
      <c r="UCB46" s="473"/>
      <c r="UCC46" s="473"/>
      <c r="UCD46" s="473"/>
      <c r="UCE46" s="473"/>
      <c r="UCF46" s="473"/>
      <c r="UCG46" s="473"/>
      <c r="UCH46" s="473"/>
      <c r="UCI46" s="473"/>
      <c r="UCJ46" s="473"/>
      <c r="UCK46" s="473"/>
      <c r="UCL46" s="473"/>
      <c r="UCM46" s="473"/>
      <c r="UCN46" s="473"/>
      <c r="UCO46" s="473"/>
      <c r="UCP46" s="473"/>
      <c r="UCQ46" s="473"/>
      <c r="UCR46" s="473"/>
      <c r="UCS46" s="473"/>
      <c r="UCT46" s="473"/>
      <c r="UCU46" s="473"/>
      <c r="UCV46" s="473"/>
      <c r="UCW46" s="473"/>
      <c r="UCX46" s="473"/>
      <c r="UCY46" s="473"/>
      <c r="UCZ46" s="473"/>
      <c r="UDA46" s="473"/>
      <c r="UDB46" s="473"/>
      <c r="UDC46" s="473"/>
      <c r="UDD46" s="473"/>
      <c r="UDE46" s="473"/>
      <c r="UDF46" s="473"/>
      <c r="UDG46" s="473"/>
      <c r="UDH46" s="473"/>
      <c r="UDI46" s="473"/>
      <c r="UDJ46" s="473"/>
      <c r="UDK46" s="473"/>
      <c r="UDL46" s="473"/>
      <c r="UDM46" s="473"/>
      <c r="UDN46" s="473"/>
      <c r="UDO46" s="473"/>
      <c r="UDP46" s="473"/>
      <c r="UDQ46" s="473"/>
      <c r="UDR46" s="473"/>
      <c r="UDS46" s="473"/>
      <c r="UDT46" s="473"/>
      <c r="UDU46" s="473"/>
      <c r="UDV46" s="473"/>
      <c r="UDW46" s="473"/>
      <c r="UDX46" s="473"/>
      <c r="UDY46" s="473"/>
      <c r="UDZ46" s="473"/>
      <c r="UEA46" s="473"/>
      <c r="UEB46" s="473"/>
      <c r="UEC46" s="473"/>
      <c r="UED46" s="473"/>
      <c r="UEE46" s="473"/>
      <c r="UEF46" s="473"/>
      <c r="UEG46" s="473"/>
      <c r="UEH46" s="473"/>
      <c r="UEI46" s="473"/>
      <c r="UEJ46" s="473"/>
      <c r="UEK46" s="473"/>
      <c r="UEL46" s="473"/>
      <c r="UEM46" s="473"/>
      <c r="UEN46" s="473"/>
      <c r="UEO46" s="473"/>
      <c r="UEP46" s="473"/>
      <c r="UEQ46" s="473"/>
      <c r="UER46" s="473"/>
      <c r="UES46" s="473"/>
      <c r="UET46" s="473"/>
      <c r="UEU46" s="473"/>
      <c r="UEV46" s="473"/>
      <c r="UEW46" s="473"/>
      <c r="UEX46" s="473"/>
      <c r="UEY46" s="473"/>
      <c r="UEZ46" s="473"/>
      <c r="UFA46" s="473"/>
      <c r="UFB46" s="473"/>
      <c r="UFC46" s="473"/>
      <c r="UFD46" s="473"/>
      <c r="UFE46" s="473"/>
      <c r="UFF46" s="473"/>
      <c r="UFG46" s="473"/>
      <c r="UFH46" s="473"/>
      <c r="UFI46" s="473"/>
      <c r="UFJ46" s="473"/>
      <c r="UFK46" s="473"/>
      <c r="UFL46" s="473"/>
      <c r="UFM46" s="473"/>
      <c r="UFN46" s="473"/>
      <c r="UFO46" s="473"/>
      <c r="UFP46" s="473"/>
      <c r="UFQ46" s="473"/>
      <c r="UFR46" s="473"/>
      <c r="UFS46" s="473"/>
      <c r="UFT46" s="473"/>
      <c r="UFU46" s="473"/>
      <c r="UFV46" s="473"/>
      <c r="UFW46" s="473"/>
      <c r="UFX46" s="473"/>
      <c r="UFY46" s="473"/>
      <c r="UFZ46" s="473"/>
      <c r="UGA46" s="473"/>
      <c r="UGB46" s="473"/>
      <c r="UGC46" s="473"/>
      <c r="UGD46" s="473"/>
      <c r="UGE46" s="473"/>
      <c r="UGF46" s="473"/>
      <c r="UGG46" s="473"/>
      <c r="UGH46" s="473"/>
      <c r="UGI46" s="473"/>
      <c r="UGJ46" s="473"/>
      <c r="UGK46" s="473"/>
      <c r="UGL46" s="473"/>
      <c r="UGM46" s="473"/>
      <c r="UGN46" s="473"/>
      <c r="UGO46" s="473"/>
      <c r="UGP46" s="473"/>
      <c r="UGQ46" s="473"/>
      <c r="UGR46" s="473"/>
      <c r="UGS46" s="473"/>
      <c r="UGT46" s="473"/>
      <c r="UGU46" s="473"/>
      <c r="UGV46" s="473"/>
      <c r="UGW46" s="473"/>
      <c r="UGX46" s="473"/>
      <c r="UGY46" s="473"/>
      <c r="UGZ46" s="473"/>
      <c r="UHA46" s="473"/>
      <c r="UHB46" s="473"/>
      <c r="UHC46" s="473"/>
      <c r="UHD46" s="473"/>
      <c r="UHE46" s="473"/>
      <c r="UHF46" s="473"/>
      <c r="UHG46" s="473"/>
      <c r="UHH46" s="473"/>
      <c r="UHI46" s="473"/>
      <c r="UHJ46" s="473"/>
      <c r="UHK46" s="473"/>
      <c r="UHL46" s="473"/>
      <c r="UHM46" s="473"/>
      <c r="UHN46" s="473"/>
      <c r="UHO46" s="473"/>
      <c r="UHP46" s="473"/>
      <c r="UHQ46" s="473"/>
      <c r="UHR46" s="473"/>
      <c r="UHS46" s="473"/>
      <c r="UHT46" s="473"/>
      <c r="UHU46" s="473"/>
      <c r="UHV46" s="473"/>
      <c r="UHW46" s="473"/>
      <c r="UHX46" s="473"/>
      <c r="UHY46" s="473"/>
      <c r="UHZ46" s="473"/>
      <c r="UIA46" s="473"/>
      <c r="UIB46" s="473"/>
      <c r="UIC46" s="473"/>
      <c r="UID46" s="473"/>
      <c r="UIE46" s="473"/>
      <c r="UIF46" s="473"/>
      <c r="UIG46" s="473"/>
      <c r="UIH46" s="473"/>
      <c r="UII46" s="473"/>
      <c r="UIJ46" s="473"/>
      <c r="UIK46" s="473"/>
      <c r="UIL46" s="473"/>
      <c r="UIM46" s="473"/>
      <c r="UIN46" s="473"/>
      <c r="UIO46" s="473"/>
      <c r="UIP46" s="473"/>
      <c r="UIQ46" s="473"/>
      <c r="UIR46" s="473"/>
      <c r="UIS46" s="473"/>
      <c r="UIT46" s="473"/>
      <c r="UIU46" s="473"/>
      <c r="UIV46" s="473"/>
      <c r="UIW46" s="473"/>
      <c r="UIX46" s="473"/>
      <c r="UIY46" s="473"/>
      <c r="UIZ46" s="473"/>
      <c r="UJA46" s="473"/>
      <c r="UJB46" s="473"/>
      <c r="UJC46" s="473"/>
      <c r="UJD46" s="473"/>
      <c r="UJE46" s="473"/>
      <c r="UJF46" s="473"/>
      <c r="UJG46" s="473"/>
      <c r="UJH46" s="473"/>
      <c r="UJI46" s="473"/>
      <c r="UJJ46" s="473"/>
      <c r="UJK46" s="473"/>
      <c r="UJL46" s="473"/>
      <c r="UJM46" s="473"/>
      <c r="UJN46" s="473"/>
      <c r="UJO46" s="473"/>
      <c r="UJP46" s="473"/>
      <c r="UJQ46" s="473"/>
      <c r="UJR46" s="473"/>
      <c r="UJS46" s="473"/>
      <c r="UJT46" s="473"/>
      <c r="UJU46" s="473"/>
      <c r="UJV46" s="473"/>
      <c r="UJW46" s="473"/>
      <c r="UJX46" s="473"/>
      <c r="UJY46" s="473"/>
      <c r="UJZ46" s="473"/>
      <c r="UKA46" s="473"/>
      <c r="UKB46" s="473"/>
      <c r="UKC46" s="473"/>
      <c r="UKD46" s="473"/>
      <c r="UKE46" s="473"/>
      <c r="UKF46" s="473"/>
      <c r="UKG46" s="473"/>
      <c r="UKH46" s="473"/>
      <c r="UKI46" s="473"/>
      <c r="UKJ46" s="473"/>
      <c r="UKK46" s="473"/>
      <c r="UKL46" s="473"/>
      <c r="UKM46" s="473"/>
      <c r="UKN46" s="473"/>
      <c r="UKO46" s="473"/>
      <c r="UKP46" s="473"/>
      <c r="UKQ46" s="473"/>
      <c r="UKR46" s="473"/>
      <c r="UKS46" s="473"/>
      <c r="UKT46" s="473"/>
      <c r="UKU46" s="473"/>
      <c r="UKV46" s="473"/>
      <c r="UKW46" s="473"/>
      <c r="UKX46" s="473"/>
      <c r="UKY46" s="473"/>
      <c r="UKZ46" s="473"/>
      <c r="ULA46" s="473"/>
      <c r="ULB46" s="473"/>
      <c r="ULC46" s="473"/>
      <c r="ULD46" s="473"/>
      <c r="ULE46" s="473"/>
      <c r="ULF46" s="473"/>
      <c r="ULG46" s="473"/>
      <c r="ULH46" s="473"/>
      <c r="ULI46" s="473"/>
      <c r="ULJ46" s="473"/>
      <c r="ULK46" s="473"/>
      <c r="ULL46" s="473"/>
      <c r="ULM46" s="473"/>
      <c r="ULN46" s="473"/>
      <c r="ULO46" s="473"/>
      <c r="ULP46" s="473"/>
      <c r="ULQ46" s="473"/>
      <c r="ULR46" s="473"/>
      <c r="ULS46" s="473"/>
      <c r="ULT46" s="473"/>
      <c r="ULU46" s="473"/>
      <c r="ULV46" s="473"/>
      <c r="ULW46" s="473"/>
      <c r="ULX46" s="473"/>
      <c r="ULY46" s="473"/>
      <c r="ULZ46" s="473"/>
      <c r="UMA46" s="473"/>
      <c r="UMB46" s="473"/>
      <c r="UMC46" s="473"/>
      <c r="UMD46" s="473"/>
      <c r="UME46" s="473"/>
      <c r="UMF46" s="473"/>
      <c r="UMG46" s="473"/>
      <c r="UMH46" s="473"/>
      <c r="UMI46" s="473"/>
      <c r="UMJ46" s="473"/>
      <c r="UMK46" s="473"/>
      <c r="UML46" s="473"/>
      <c r="UMM46" s="473"/>
      <c r="UMN46" s="473"/>
      <c r="UMO46" s="473"/>
      <c r="UMP46" s="473"/>
      <c r="UMQ46" s="473"/>
      <c r="UMR46" s="473"/>
      <c r="UMS46" s="473"/>
      <c r="UMT46" s="473"/>
      <c r="UMU46" s="473"/>
      <c r="UMV46" s="473"/>
      <c r="UMW46" s="473"/>
      <c r="UMX46" s="473"/>
      <c r="UMY46" s="473"/>
      <c r="UMZ46" s="473"/>
      <c r="UNA46" s="473"/>
      <c r="UNB46" s="473"/>
      <c r="UNC46" s="473"/>
      <c r="UND46" s="473"/>
      <c r="UNE46" s="473"/>
      <c r="UNF46" s="473"/>
      <c r="UNG46" s="473"/>
      <c r="UNH46" s="473"/>
      <c r="UNI46" s="473"/>
      <c r="UNJ46" s="473"/>
      <c r="UNK46" s="473"/>
      <c r="UNL46" s="473"/>
      <c r="UNM46" s="473"/>
      <c r="UNN46" s="473"/>
      <c r="UNO46" s="473"/>
      <c r="UNP46" s="473"/>
      <c r="UNQ46" s="473"/>
      <c r="UNR46" s="473"/>
      <c r="UNS46" s="473"/>
      <c r="UNT46" s="473"/>
      <c r="UNU46" s="473"/>
      <c r="UNV46" s="473"/>
      <c r="UNW46" s="473"/>
      <c r="UNX46" s="473"/>
      <c r="UNY46" s="473"/>
      <c r="UNZ46" s="473"/>
      <c r="UOA46" s="473"/>
      <c r="UOB46" s="473"/>
      <c r="UOC46" s="473"/>
      <c r="UOD46" s="473"/>
      <c r="UOE46" s="473"/>
      <c r="UOF46" s="473"/>
      <c r="UOG46" s="473"/>
      <c r="UOH46" s="473"/>
      <c r="UOI46" s="473"/>
      <c r="UOJ46" s="473"/>
      <c r="UOK46" s="473"/>
      <c r="UOL46" s="473"/>
      <c r="UOM46" s="473"/>
      <c r="UON46" s="473"/>
      <c r="UOO46" s="473"/>
      <c r="UOP46" s="473"/>
      <c r="UOQ46" s="473"/>
      <c r="UOR46" s="473"/>
      <c r="UOS46" s="473"/>
      <c r="UOT46" s="473"/>
      <c r="UOU46" s="473"/>
      <c r="UOV46" s="473"/>
      <c r="UOW46" s="473"/>
      <c r="UOX46" s="473"/>
      <c r="UOY46" s="473"/>
      <c r="UOZ46" s="473"/>
      <c r="UPA46" s="473"/>
      <c r="UPB46" s="473"/>
      <c r="UPC46" s="473"/>
      <c r="UPD46" s="473"/>
      <c r="UPE46" s="473"/>
      <c r="UPF46" s="473"/>
      <c r="UPG46" s="473"/>
      <c r="UPH46" s="473"/>
      <c r="UPI46" s="473"/>
      <c r="UPJ46" s="473"/>
      <c r="UPK46" s="473"/>
      <c r="UPL46" s="473"/>
      <c r="UPM46" s="473"/>
      <c r="UPN46" s="473"/>
      <c r="UPO46" s="473"/>
      <c r="UPP46" s="473"/>
      <c r="UPQ46" s="473"/>
      <c r="UPR46" s="473"/>
      <c r="UPS46" s="473"/>
      <c r="UPT46" s="473"/>
      <c r="UPU46" s="473"/>
      <c r="UPV46" s="473"/>
      <c r="UPW46" s="473"/>
      <c r="UPX46" s="473"/>
      <c r="UPY46" s="473"/>
      <c r="UPZ46" s="473"/>
      <c r="UQA46" s="473"/>
      <c r="UQB46" s="473"/>
      <c r="UQC46" s="473"/>
      <c r="UQD46" s="473"/>
      <c r="UQE46" s="473"/>
      <c r="UQF46" s="473"/>
      <c r="UQG46" s="473"/>
      <c r="UQH46" s="473"/>
      <c r="UQI46" s="473"/>
      <c r="UQJ46" s="473"/>
      <c r="UQK46" s="473"/>
      <c r="UQL46" s="473"/>
      <c r="UQM46" s="473"/>
      <c r="UQN46" s="473"/>
      <c r="UQO46" s="473"/>
      <c r="UQP46" s="473"/>
      <c r="UQQ46" s="473"/>
      <c r="UQR46" s="473"/>
      <c r="UQS46" s="473"/>
      <c r="UQT46" s="473"/>
      <c r="UQU46" s="473"/>
      <c r="UQV46" s="473"/>
      <c r="UQW46" s="473"/>
      <c r="UQX46" s="473"/>
      <c r="UQY46" s="473"/>
      <c r="UQZ46" s="473"/>
      <c r="URA46" s="473"/>
      <c r="URB46" s="473"/>
      <c r="URC46" s="473"/>
      <c r="URD46" s="473"/>
      <c r="URE46" s="473"/>
      <c r="URF46" s="473"/>
      <c r="URG46" s="473"/>
      <c r="URH46" s="473"/>
      <c r="URI46" s="473"/>
      <c r="URJ46" s="473"/>
      <c r="URK46" s="473"/>
      <c r="URL46" s="473"/>
      <c r="URM46" s="473"/>
      <c r="URN46" s="473"/>
      <c r="URO46" s="473"/>
      <c r="URP46" s="473"/>
      <c r="URQ46" s="473"/>
      <c r="URR46" s="473"/>
      <c r="URS46" s="473"/>
      <c r="URT46" s="473"/>
      <c r="URU46" s="473"/>
      <c r="URV46" s="473"/>
      <c r="URW46" s="473"/>
      <c r="URX46" s="473"/>
      <c r="URY46" s="473"/>
      <c r="URZ46" s="473"/>
      <c r="USA46" s="473"/>
      <c r="USB46" s="473"/>
      <c r="USC46" s="473"/>
      <c r="USD46" s="473"/>
      <c r="USE46" s="473"/>
      <c r="USF46" s="473"/>
      <c r="USG46" s="473"/>
      <c r="USH46" s="473"/>
      <c r="USI46" s="473"/>
      <c r="USJ46" s="473"/>
      <c r="USK46" s="473"/>
      <c r="USL46" s="473"/>
      <c r="USM46" s="473"/>
      <c r="USN46" s="473"/>
      <c r="USO46" s="473"/>
      <c r="USP46" s="473"/>
      <c r="USQ46" s="473"/>
      <c r="USR46" s="473"/>
      <c r="USS46" s="473"/>
      <c r="UST46" s="473"/>
      <c r="USU46" s="473"/>
      <c r="USV46" s="473"/>
      <c r="USW46" s="473"/>
      <c r="USX46" s="473"/>
      <c r="USY46" s="473"/>
      <c r="USZ46" s="473"/>
      <c r="UTA46" s="473"/>
      <c r="UTB46" s="473"/>
      <c r="UTC46" s="473"/>
      <c r="UTD46" s="473"/>
      <c r="UTE46" s="473"/>
      <c r="UTF46" s="473"/>
      <c r="UTG46" s="473"/>
      <c r="UTH46" s="473"/>
      <c r="UTI46" s="473"/>
      <c r="UTJ46" s="473"/>
      <c r="UTK46" s="473"/>
      <c r="UTL46" s="473"/>
      <c r="UTM46" s="473"/>
      <c r="UTN46" s="473"/>
      <c r="UTO46" s="473"/>
      <c r="UTP46" s="473"/>
      <c r="UTQ46" s="473"/>
      <c r="UTR46" s="473"/>
      <c r="UTS46" s="473"/>
      <c r="UTT46" s="473"/>
      <c r="UTU46" s="473"/>
      <c r="UTV46" s="473"/>
      <c r="UTW46" s="473"/>
      <c r="UTX46" s="473"/>
      <c r="UTY46" s="473"/>
      <c r="UTZ46" s="473"/>
      <c r="UUA46" s="473"/>
      <c r="UUB46" s="473"/>
      <c r="UUC46" s="473"/>
      <c r="UUD46" s="473"/>
      <c r="UUE46" s="473"/>
      <c r="UUF46" s="473"/>
      <c r="UUG46" s="473"/>
      <c r="UUH46" s="473"/>
      <c r="UUI46" s="473"/>
      <c r="UUJ46" s="473"/>
      <c r="UUK46" s="473"/>
      <c r="UUL46" s="473"/>
      <c r="UUM46" s="473"/>
      <c r="UUN46" s="473"/>
      <c r="UUO46" s="473"/>
      <c r="UUP46" s="473"/>
      <c r="UUQ46" s="473"/>
      <c r="UUR46" s="473"/>
      <c r="UUS46" s="473"/>
      <c r="UUT46" s="473"/>
      <c r="UUU46" s="473"/>
      <c r="UUV46" s="473"/>
      <c r="UUW46" s="473"/>
      <c r="UUX46" s="473"/>
      <c r="UUY46" s="473"/>
      <c r="UUZ46" s="473"/>
      <c r="UVA46" s="473"/>
      <c r="UVB46" s="473"/>
      <c r="UVC46" s="473"/>
      <c r="UVD46" s="473"/>
      <c r="UVE46" s="473"/>
      <c r="UVF46" s="473"/>
      <c r="UVG46" s="473"/>
      <c r="UVH46" s="473"/>
      <c r="UVI46" s="473"/>
      <c r="UVJ46" s="473"/>
      <c r="UVK46" s="473"/>
      <c r="UVL46" s="473"/>
      <c r="UVM46" s="473"/>
      <c r="UVN46" s="473"/>
      <c r="UVO46" s="473"/>
      <c r="UVP46" s="473"/>
      <c r="UVQ46" s="473"/>
      <c r="UVR46" s="473"/>
      <c r="UVS46" s="473"/>
      <c r="UVT46" s="473"/>
      <c r="UVU46" s="473"/>
      <c r="UVV46" s="473"/>
      <c r="UVW46" s="473"/>
      <c r="UVX46" s="473"/>
      <c r="UVY46" s="473"/>
      <c r="UVZ46" s="473"/>
      <c r="UWA46" s="473"/>
      <c r="UWB46" s="473"/>
      <c r="UWC46" s="473"/>
      <c r="UWD46" s="473"/>
      <c r="UWE46" s="473"/>
      <c r="UWF46" s="473"/>
      <c r="UWG46" s="473"/>
      <c r="UWH46" s="473"/>
      <c r="UWI46" s="473"/>
      <c r="UWJ46" s="473"/>
      <c r="UWK46" s="473"/>
      <c r="UWL46" s="473"/>
      <c r="UWM46" s="473"/>
      <c r="UWN46" s="473"/>
      <c r="UWO46" s="473"/>
      <c r="UWP46" s="473"/>
      <c r="UWQ46" s="473"/>
      <c r="UWR46" s="473"/>
      <c r="UWS46" s="473"/>
      <c r="UWT46" s="473"/>
      <c r="UWU46" s="473"/>
      <c r="UWV46" s="473"/>
      <c r="UWW46" s="473"/>
      <c r="UWX46" s="473"/>
      <c r="UWY46" s="473"/>
      <c r="UWZ46" s="473"/>
      <c r="UXA46" s="473"/>
      <c r="UXB46" s="473"/>
      <c r="UXC46" s="473"/>
      <c r="UXD46" s="473"/>
      <c r="UXE46" s="473"/>
      <c r="UXF46" s="473"/>
      <c r="UXG46" s="473"/>
      <c r="UXH46" s="473"/>
      <c r="UXI46" s="473"/>
      <c r="UXJ46" s="473"/>
      <c r="UXK46" s="473"/>
      <c r="UXL46" s="473"/>
      <c r="UXM46" s="473"/>
      <c r="UXN46" s="473"/>
      <c r="UXO46" s="473"/>
      <c r="UXP46" s="473"/>
      <c r="UXQ46" s="473"/>
      <c r="UXR46" s="473"/>
      <c r="UXS46" s="473"/>
      <c r="UXT46" s="473"/>
      <c r="UXU46" s="473"/>
      <c r="UXV46" s="473"/>
      <c r="UXW46" s="473"/>
      <c r="UXX46" s="473"/>
      <c r="UXY46" s="473"/>
      <c r="UXZ46" s="473"/>
      <c r="UYA46" s="473"/>
      <c r="UYB46" s="473"/>
      <c r="UYC46" s="473"/>
      <c r="UYD46" s="473"/>
      <c r="UYE46" s="473"/>
      <c r="UYF46" s="473"/>
      <c r="UYG46" s="473"/>
      <c r="UYH46" s="473"/>
      <c r="UYI46" s="473"/>
      <c r="UYJ46" s="473"/>
      <c r="UYK46" s="473"/>
      <c r="UYL46" s="473"/>
      <c r="UYM46" s="473"/>
      <c r="UYN46" s="473"/>
      <c r="UYO46" s="473"/>
      <c r="UYP46" s="473"/>
      <c r="UYQ46" s="473"/>
      <c r="UYR46" s="473"/>
      <c r="UYS46" s="473"/>
      <c r="UYT46" s="473"/>
      <c r="UYU46" s="473"/>
      <c r="UYV46" s="473"/>
      <c r="UYW46" s="473"/>
      <c r="UYX46" s="473"/>
      <c r="UYY46" s="473"/>
      <c r="UYZ46" s="473"/>
      <c r="UZA46" s="473"/>
      <c r="UZB46" s="473"/>
      <c r="UZC46" s="473"/>
      <c r="UZD46" s="473"/>
      <c r="UZE46" s="473"/>
      <c r="UZF46" s="473"/>
      <c r="UZG46" s="473"/>
      <c r="UZH46" s="473"/>
      <c r="UZI46" s="473"/>
      <c r="UZJ46" s="473"/>
      <c r="UZK46" s="473"/>
      <c r="UZL46" s="473"/>
      <c r="UZM46" s="473"/>
      <c r="UZN46" s="473"/>
      <c r="UZO46" s="473"/>
      <c r="UZP46" s="473"/>
      <c r="UZQ46" s="473"/>
      <c r="UZR46" s="473"/>
      <c r="UZS46" s="473"/>
      <c r="UZT46" s="473"/>
      <c r="UZU46" s="473"/>
      <c r="UZV46" s="473"/>
      <c r="UZW46" s="473"/>
      <c r="UZX46" s="473"/>
      <c r="UZY46" s="473"/>
      <c r="UZZ46" s="473"/>
      <c r="VAA46" s="473"/>
      <c r="VAB46" s="473"/>
      <c r="VAC46" s="473"/>
      <c r="VAD46" s="473"/>
      <c r="VAE46" s="473"/>
      <c r="VAF46" s="473"/>
      <c r="VAG46" s="473"/>
      <c r="VAH46" s="473"/>
      <c r="VAI46" s="473"/>
      <c r="VAJ46" s="473"/>
      <c r="VAK46" s="473"/>
      <c r="VAL46" s="473"/>
      <c r="VAM46" s="473"/>
      <c r="VAN46" s="473"/>
      <c r="VAO46" s="473"/>
      <c r="VAP46" s="473"/>
      <c r="VAQ46" s="473"/>
      <c r="VAR46" s="473"/>
      <c r="VAS46" s="473"/>
      <c r="VAT46" s="473"/>
      <c r="VAU46" s="473"/>
      <c r="VAV46" s="473"/>
      <c r="VAW46" s="473"/>
      <c r="VAX46" s="473"/>
      <c r="VAY46" s="473"/>
      <c r="VAZ46" s="473"/>
      <c r="VBA46" s="473"/>
      <c r="VBB46" s="473"/>
      <c r="VBC46" s="473"/>
      <c r="VBD46" s="473"/>
      <c r="VBE46" s="473"/>
      <c r="VBF46" s="473"/>
      <c r="VBG46" s="473"/>
      <c r="VBH46" s="473"/>
      <c r="VBI46" s="473"/>
      <c r="VBJ46" s="473"/>
      <c r="VBK46" s="473"/>
      <c r="VBL46" s="473"/>
      <c r="VBM46" s="473"/>
      <c r="VBN46" s="473"/>
      <c r="VBO46" s="473"/>
      <c r="VBP46" s="473"/>
      <c r="VBQ46" s="473"/>
      <c r="VBR46" s="473"/>
      <c r="VBS46" s="473"/>
      <c r="VBT46" s="473"/>
      <c r="VBU46" s="473"/>
      <c r="VBV46" s="473"/>
      <c r="VBW46" s="473"/>
      <c r="VBX46" s="473"/>
      <c r="VBY46" s="473"/>
      <c r="VBZ46" s="473"/>
      <c r="VCA46" s="473"/>
      <c r="VCB46" s="473"/>
      <c r="VCC46" s="473"/>
      <c r="VCD46" s="473"/>
      <c r="VCE46" s="473"/>
      <c r="VCF46" s="473"/>
      <c r="VCG46" s="473"/>
      <c r="VCH46" s="473"/>
      <c r="VCI46" s="473"/>
      <c r="VCJ46" s="473"/>
      <c r="VCK46" s="473"/>
      <c r="VCL46" s="473"/>
      <c r="VCM46" s="473"/>
      <c r="VCN46" s="473"/>
      <c r="VCO46" s="473"/>
      <c r="VCP46" s="473"/>
      <c r="VCQ46" s="473"/>
      <c r="VCR46" s="473"/>
      <c r="VCS46" s="473"/>
      <c r="VCT46" s="473"/>
      <c r="VCU46" s="473"/>
      <c r="VCV46" s="473"/>
      <c r="VCW46" s="473"/>
      <c r="VCX46" s="473"/>
      <c r="VCY46" s="473"/>
      <c r="VCZ46" s="473"/>
      <c r="VDA46" s="473"/>
      <c r="VDB46" s="473"/>
      <c r="VDC46" s="473"/>
      <c r="VDD46" s="473"/>
      <c r="VDE46" s="473"/>
      <c r="VDF46" s="473"/>
      <c r="VDG46" s="473"/>
      <c r="VDH46" s="473"/>
      <c r="VDI46" s="473"/>
      <c r="VDJ46" s="473"/>
      <c r="VDK46" s="473"/>
      <c r="VDL46" s="473"/>
      <c r="VDM46" s="473"/>
      <c r="VDN46" s="473"/>
      <c r="VDO46" s="473"/>
      <c r="VDP46" s="473"/>
      <c r="VDQ46" s="473"/>
      <c r="VDR46" s="473"/>
      <c r="VDS46" s="473"/>
      <c r="VDT46" s="473"/>
      <c r="VDU46" s="473"/>
      <c r="VDV46" s="473"/>
      <c r="VDW46" s="473"/>
      <c r="VDX46" s="473"/>
      <c r="VDY46" s="473"/>
      <c r="VDZ46" s="473"/>
      <c r="VEA46" s="473"/>
      <c r="VEB46" s="473"/>
      <c r="VEC46" s="473"/>
      <c r="VED46" s="473"/>
      <c r="VEE46" s="473"/>
      <c r="VEF46" s="473"/>
      <c r="VEG46" s="473"/>
      <c r="VEH46" s="473"/>
      <c r="VEI46" s="473"/>
      <c r="VEJ46" s="473"/>
      <c r="VEK46" s="473"/>
      <c r="VEL46" s="473"/>
      <c r="VEM46" s="473"/>
      <c r="VEN46" s="473"/>
      <c r="VEO46" s="473"/>
      <c r="VEP46" s="473"/>
      <c r="VEQ46" s="473"/>
      <c r="VER46" s="473"/>
      <c r="VES46" s="473"/>
      <c r="VET46" s="473"/>
      <c r="VEU46" s="473"/>
      <c r="VEV46" s="473"/>
      <c r="VEW46" s="473"/>
      <c r="VEX46" s="473"/>
      <c r="VEY46" s="473"/>
      <c r="VEZ46" s="473"/>
      <c r="VFA46" s="473"/>
      <c r="VFB46" s="473"/>
      <c r="VFC46" s="473"/>
      <c r="VFD46" s="473"/>
      <c r="VFE46" s="473"/>
      <c r="VFF46" s="473"/>
      <c r="VFG46" s="473"/>
      <c r="VFH46" s="473"/>
      <c r="VFI46" s="473"/>
      <c r="VFJ46" s="473"/>
      <c r="VFK46" s="473"/>
      <c r="VFL46" s="473"/>
      <c r="VFM46" s="473"/>
      <c r="VFN46" s="473"/>
      <c r="VFO46" s="473"/>
      <c r="VFP46" s="473"/>
      <c r="VFQ46" s="473"/>
      <c r="VFR46" s="473"/>
      <c r="VFS46" s="473"/>
      <c r="VFT46" s="473"/>
      <c r="VFU46" s="473"/>
      <c r="VFV46" s="473"/>
      <c r="VFW46" s="473"/>
      <c r="VFX46" s="473"/>
      <c r="VFY46" s="473"/>
      <c r="VFZ46" s="473"/>
      <c r="VGA46" s="473"/>
      <c r="VGB46" s="473"/>
      <c r="VGC46" s="473"/>
      <c r="VGD46" s="473"/>
      <c r="VGE46" s="473"/>
      <c r="VGF46" s="473"/>
      <c r="VGG46" s="473"/>
      <c r="VGH46" s="473"/>
      <c r="VGI46" s="473"/>
      <c r="VGJ46" s="473"/>
      <c r="VGK46" s="473"/>
      <c r="VGL46" s="473"/>
      <c r="VGM46" s="473"/>
      <c r="VGN46" s="473"/>
      <c r="VGO46" s="473"/>
      <c r="VGP46" s="473"/>
      <c r="VGQ46" s="473"/>
      <c r="VGR46" s="473"/>
      <c r="VGS46" s="473"/>
      <c r="VGT46" s="473"/>
      <c r="VGU46" s="473"/>
      <c r="VGV46" s="473"/>
      <c r="VGW46" s="473"/>
      <c r="VGX46" s="473"/>
      <c r="VGY46" s="473"/>
      <c r="VGZ46" s="473"/>
      <c r="VHA46" s="473"/>
      <c r="VHB46" s="473"/>
      <c r="VHC46" s="473"/>
      <c r="VHD46" s="473"/>
      <c r="VHE46" s="473"/>
      <c r="VHF46" s="473"/>
      <c r="VHG46" s="473"/>
      <c r="VHH46" s="473"/>
      <c r="VHI46" s="473"/>
      <c r="VHJ46" s="473"/>
      <c r="VHK46" s="473"/>
      <c r="VHL46" s="473"/>
      <c r="VHM46" s="473"/>
      <c r="VHN46" s="473"/>
      <c r="VHO46" s="473"/>
      <c r="VHP46" s="473"/>
      <c r="VHQ46" s="473"/>
      <c r="VHR46" s="473"/>
      <c r="VHS46" s="473"/>
      <c r="VHT46" s="473"/>
      <c r="VHU46" s="473"/>
      <c r="VHV46" s="473"/>
      <c r="VHW46" s="473"/>
      <c r="VHX46" s="473"/>
      <c r="VHY46" s="473"/>
      <c r="VHZ46" s="473"/>
      <c r="VIA46" s="473"/>
      <c r="VIB46" s="473"/>
      <c r="VIC46" s="473"/>
      <c r="VID46" s="473"/>
      <c r="VIE46" s="473"/>
      <c r="VIF46" s="473"/>
      <c r="VIG46" s="473"/>
      <c r="VIH46" s="473"/>
      <c r="VII46" s="473"/>
      <c r="VIJ46" s="473"/>
      <c r="VIK46" s="473"/>
      <c r="VIL46" s="473"/>
      <c r="VIM46" s="473"/>
      <c r="VIN46" s="473"/>
      <c r="VIO46" s="473"/>
      <c r="VIP46" s="473"/>
      <c r="VIQ46" s="473"/>
      <c r="VIR46" s="473"/>
      <c r="VIS46" s="473"/>
      <c r="VIT46" s="473"/>
      <c r="VIU46" s="473"/>
      <c r="VIV46" s="473"/>
      <c r="VIW46" s="473"/>
      <c r="VIX46" s="473"/>
      <c r="VIY46" s="473"/>
      <c r="VIZ46" s="473"/>
      <c r="VJA46" s="473"/>
      <c r="VJB46" s="473"/>
      <c r="VJC46" s="473"/>
      <c r="VJD46" s="473"/>
      <c r="VJE46" s="473"/>
      <c r="VJF46" s="473"/>
      <c r="VJG46" s="473"/>
      <c r="VJH46" s="473"/>
      <c r="VJI46" s="473"/>
      <c r="VJJ46" s="473"/>
      <c r="VJK46" s="473"/>
      <c r="VJL46" s="473"/>
      <c r="VJM46" s="473"/>
      <c r="VJN46" s="473"/>
      <c r="VJO46" s="473"/>
      <c r="VJP46" s="473"/>
      <c r="VJQ46" s="473"/>
      <c r="VJR46" s="473"/>
      <c r="VJS46" s="473"/>
      <c r="VJT46" s="473"/>
      <c r="VJU46" s="473"/>
      <c r="VJV46" s="473"/>
      <c r="VJW46" s="473"/>
      <c r="VJX46" s="473"/>
      <c r="VJY46" s="473"/>
      <c r="VJZ46" s="473"/>
      <c r="VKA46" s="473"/>
      <c r="VKB46" s="473"/>
      <c r="VKC46" s="473"/>
      <c r="VKD46" s="473"/>
      <c r="VKE46" s="473"/>
      <c r="VKF46" s="473"/>
      <c r="VKG46" s="473"/>
      <c r="VKH46" s="473"/>
      <c r="VKI46" s="473"/>
      <c r="VKJ46" s="473"/>
      <c r="VKK46" s="473"/>
      <c r="VKL46" s="473"/>
      <c r="VKM46" s="473"/>
      <c r="VKN46" s="473"/>
      <c r="VKO46" s="473"/>
      <c r="VKP46" s="473"/>
      <c r="VKQ46" s="473"/>
      <c r="VKR46" s="473"/>
      <c r="VKS46" s="473"/>
      <c r="VKT46" s="473"/>
      <c r="VKU46" s="473"/>
      <c r="VKV46" s="473"/>
      <c r="VKW46" s="473"/>
      <c r="VKX46" s="473"/>
      <c r="VKY46" s="473"/>
      <c r="VKZ46" s="473"/>
      <c r="VLA46" s="473"/>
      <c r="VLB46" s="473"/>
      <c r="VLC46" s="473"/>
      <c r="VLD46" s="473"/>
      <c r="VLE46" s="473"/>
      <c r="VLF46" s="473"/>
      <c r="VLG46" s="473"/>
      <c r="VLH46" s="473"/>
      <c r="VLI46" s="473"/>
      <c r="VLJ46" s="473"/>
      <c r="VLK46" s="473"/>
      <c r="VLL46" s="473"/>
      <c r="VLM46" s="473"/>
      <c r="VLN46" s="473"/>
      <c r="VLO46" s="473"/>
      <c r="VLP46" s="473"/>
      <c r="VLQ46" s="473"/>
      <c r="VLR46" s="473"/>
      <c r="VLS46" s="473"/>
      <c r="VLT46" s="473"/>
      <c r="VLU46" s="473"/>
      <c r="VLV46" s="473"/>
      <c r="VLW46" s="473"/>
      <c r="VLX46" s="473"/>
      <c r="VLY46" s="473"/>
      <c r="VLZ46" s="473"/>
      <c r="VMA46" s="473"/>
      <c r="VMB46" s="473"/>
      <c r="VMC46" s="473"/>
      <c r="VMD46" s="473"/>
      <c r="VME46" s="473"/>
      <c r="VMF46" s="473"/>
      <c r="VMG46" s="473"/>
      <c r="VMH46" s="473"/>
      <c r="VMI46" s="473"/>
      <c r="VMJ46" s="473"/>
      <c r="VMK46" s="473"/>
      <c r="VML46" s="473"/>
      <c r="VMM46" s="473"/>
      <c r="VMN46" s="473"/>
      <c r="VMO46" s="473"/>
      <c r="VMP46" s="473"/>
      <c r="VMQ46" s="473"/>
      <c r="VMR46" s="473"/>
      <c r="VMS46" s="473"/>
      <c r="VMT46" s="473"/>
      <c r="VMU46" s="473"/>
      <c r="VMV46" s="473"/>
      <c r="VMW46" s="473"/>
      <c r="VMX46" s="473"/>
      <c r="VMY46" s="473"/>
      <c r="VMZ46" s="473"/>
      <c r="VNA46" s="473"/>
      <c r="VNB46" s="473"/>
      <c r="VNC46" s="473"/>
      <c r="VND46" s="473"/>
      <c r="VNE46" s="473"/>
      <c r="VNF46" s="473"/>
      <c r="VNG46" s="473"/>
      <c r="VNH46" s="473"/>
      <c r="VNI46" s="473"/>
      <c r="VNJ46" s="473"/>
      <c r="VNK46" s="473"/>
      <c r="VNL46" s="473"/>
      <c r="VNM46" s="473"/>
      <c r="VNN46" s="473"/>
      <c r="VNO46" s="473"/>
      <c r="VNP46" s="473"/>
      <c r="VNQ46" s="473"/>
      <c r="VNR46" s="473"/>
      <c r="VNS46" s="473"/>
      <c r="VNT46" s="473"/>
      <c r="VNU46" s="473"/>
      <c r="VNV46" s="473"/>
      <c r="VNW46" s="473"/>
      <c r="VNX46" s="473"/>
      <c r="VNY46" s="473"/>
      <c r="VNZ46" s="473"/>
      <c r="VOA46" s="473"/>
      <c r="VOB46" s="473"/>
      <c r="VOC46" s="473"/>
      <c r="VOD46" s="473"/>
      <c r="VOE46" s="473"/>
      <c r="VOF46" s="473"/>
      <c r="VOG46" s="473"/>
      <c r="VOH46" s="473"/>
      <c r="VOI46" s="473"/>
      <c r="VOJ46" s="473"/>
      <c r="VOK46" s="473"/>
      <c r="VOL46" s="473"/>
      <c r="VOM46" s="473"/>
      <c r="VON46" s="473"/>
      <c r="VOO46" s="473"/>
      <c r="VOP46" s="473"/>
      <c r="VOQ46" s="473"/>
      <c r="VOR46" s="473"/>
      <c r="VOS46" s="473"/>
      <c r="VOT46" s="473"/>
      <c r="VOU46" s="473"/>
      <c r="VOV46" s="473"/>
      <c r="VOW46" s="473"/>
      <c r="VOX46" s="473"/>
      <c r="VOY46" s="473"/>
      <c r="VOZ46" s="473"/>
      <c r="VPA46" s="473"/>
      <c r="VPB46" s="473"/>
      <c r="VPC46" s="473"/>
      <c r="VPD46" s="473"/>
      <c r="VPE46" s="473"/>
      <c r="VPF46" s="473"/>
      <c r="VPG46" s="473"/>
      <c r="VPH46" s="473"/>
      <c r="VPI46" s="473"/>
      <c r="VPJ46" s="473"/>
      <c r="VPK46" s="473"/>
      <c r="VPL46" s="473"/>
      <c r="VPM46" s="473"/>
      <c r="VPN46" s="473"/>
      <c r="VPO46" s="473"/>
      <c r="VPP46" s="473"/>
      <c r="VPQ46" s="473"/>
      <c r="VPR46" s="473"/>
      <c r="VPS46" s="473"/>
      <c r="VPT46" s="473"/>
      <c r="VPU46" s="473"/>
      <c r="VPV46" s="473"/>
      <c r="VPW46" s="473"/>
      <c r="VPX46" s="473"/>
      <c r="VPY46" s="473"/>
      <c r="VPZ46" s="473"/>
      <c r="VQA46" s="473"/>
      <c r="VQB46" s="473"/>
      <c r="VQC46" s="473"/>
      <c r="VQD46" s="473"/>
      <c r="VQE46" s="473"/>
      <c r="VQF46" s="473"/>
      <c r="VQG46" s="473"/>
      <c r="VQH46" s="473"/>
      <c r="VQI46" s="473"/>
      <c r="VQJ46" s="473"/>
      <c r="VQK46" s="473"/>
      <c r="VQL46" s="473"/>
      <c r="VQM46" s="473"/>
      <c r="VQN46" s="473"/>
      <c r="VQO46" s="473"/>
      <c r="VQP46" s="473"/>
      <c r="VQQ46" s="473"/>
      <c r="VQR46" s="473"/>
      <c r="VQS46" s="473"/>
      <c r="VQT46" s="473"/>
      <c r="VQU46" s="473"/>
      <c r="VQV46" s="473"/>
      <c r="VQW46" s="473"/>
      <c r="VQX46" s="473"/>
      <c r="VQY46" s="473"/>
      <c r="VQZ46" s="473"/>
      <c r="VRA46" s="473"/>
      <c r="VRB46" s="473"/>
      <c r="VRC46" s="473"/>
      <c r="VRD46" s="473"/>
      <c r="VRE46" s="473"/>
      <c r="VRF46" s="473"/>
      <c r="VRG46" s="473"/>
      <c r="VRH46" s="473"/>
      <c r="VRI46" s="473"/>
      <c r="VRJ46" s="473"/>
      <c r="VRK46" s="473"/>
      <c r="VRL46" s="473"/>
      <c r="VRM46" s="473"/>
      <c r="VRN46" s="473"/>
      <c r="VRO46" s="473"/>
      <c r="VRP46" s="473"/>
      <c r="VRQ46" s="473"/>
      <c r="VRR46" s="473"/>
      <c r="VRS46" s="473"/>
      <c r="VRT46" s="473"/>
      <c r="VRU46" s="473"/>
      <c r="VRV46" s="473"/>
      <c r="VRW46" s="473"/>
      <c r="VRX46" s="473"/>
      <c r="VRY46" s="473"/>
      <c r="VRZ46" s="473"/>
      <c r="VSA46" s="473"/>
      <c r="VSB46" s="473"/>
      <c r="VSC46" s="473"/>
      <c r="VSD46" s="473"/>
      <c r="VSE46" s="473"/>
      <c r="VSF46" s="473"/>
      <c r="VSG46" s="473"/>
      <c r="VSH46" s="473"/>
      <c r="VSI46" s="473"/>
      <c r="VSJ46" s="473"/>
      <c r="VSK46" s="473"/>
      <c r="VSL46" s="473"/>
      <c r="VSM46" s="473"/>
      <c r="VSN46" s="473"/>
      <c r="VSO46" s="473"/>
      <c r="VSP46" s="473"/>
      <c r="VSQ46" s="473"/>
      <c r="VSR46" s="473"/>
      <c r="VSS46" s="473"/>
      <c r="VST46" s="473"/>
      <c r="VSU46" s="473"/>
      <c r="VSV46" s="473"/>
      <c r="VSW46" s="473"/>
      <c r="VSX46" s="473"/>
      <c r="VSY46" s="473"/>
      <c r="VSZ46" s="473"/>
      <c r="VTA46" s="473"/>
      <c r="VTB46" s="473"/>
      <c r="VTC46" s="473"/>
      <c r="VTD46" s="473"/>
      <c r="VTE46" s="473"/>
      <c r="VTF46" s="473"/>
      <c r="VTG46" s="473"/>
      <c r="VTH46" s="473"/>
      <c r="VTI46" s="473"/>
      <c r="VTJ46" s="473"/>
      <c r="VTK46" s="473"/>
      <c r="VTL46" s="473"/>
      <c r="VTM46" s="473"/>
      <c r="VTN46" s="473"/>
      <c r="VTO46" s="473"/>
      <c r="VTP46" s="473"/>
      <c r="VTQ46" s="473"/>
      <c r="VTR46" s="473"/>
      <c r="VTS46" s="473"/>
      <c r="VTT46" s="473"/>
      <c r="VTU46" s="473"/>
      <c r="VTV46" s="473"/>
      <c r="VTW46" s="473"/>
      <c r="VTX46" s="473"/>
      <c r="VTY46" s="473"/>
      <c r="VTZ46" s="473"/>
      <c r="VUA46" s="473"/>
      <c r="VUB46" s="473"/>
      <c r="VUC46" s="473"/>
      <c r="VUD46" s="473"/>
      <c r="VUE46" s="473"/>
      <c r="VUF46" s="473"/>
      <c r="VUG46" s="473"/>
      <c r="VUH46" s="473"/>
      <c r="VUI46" s="473"/>
      <c r="VUJ46" s="473"/>
      <c r="VUK46" s="473"/>
      <c r="VUL46" s="473"/>
      <c r="VUM46" s="473"/>
      <c r="VUN46" s="473"/>
      <c r="VUO46" s="473"/>
      <c r="VUP46" s="473"/>
      <c r="VUQ46" s="473"/>
      <c r="VUR46" s="473"/>
      <c r="VUS46" s="473"/>
      <c r="VUT46" s="473"/>
      <c r="VUU46" s="473"/>
      <c r="VUV46" s="473"/>
      <c r="VUW46" s="473"/>
      <c r="VUX46" s="473"/>
      <c r="VUY46" s="473"/>
      <c r="VUZ46" s="473"/>
      <c r="VVA46" s="473"/>
      <c r="VVB46" s="473"/>
      <c r="VVC46" s="473"/>
      <c r="VVD46" s="473"/>
      <c r="VVE46" s="473"/>
      <c r="VVF46" s="473"/>
      <c r="VVG46" s="473"/>
      <c r="VVH46" s="473"/>
      <c r="VVI46" s="473"/>
      <c r="VVJ46" s="473"/>
      <c r="VVK46" s="473"/>
      <c r="VVL46" s="473"/>
      <c r="VVM46" s="473"/>
      <c r="VVN46" s="473"/>
      <c r="VVO46" s="473"/>
      <c r="VVP46" s="473"/>
      <c r="VVQ46" s="473"/>
      <c r="VVR46" s="473"/>
      <c r="VVS46" s="473"/>
      <c r="VVT46" s="473"/>
      <c r="VVU46" s="473"/>
      <c r="VVV46" s="473"/>
      <c r="VVW46" s="473"/>
      <c r="VVX46" s="473"/>
      <c r="VVY46" s="473"/>
      <c r="VVZ46" s="473"/>
      <c r="VWA46" s="473"/>
      <c r="VWB46" s="473"/>
      <c r="VWC46" s="473"/>
      <c r="VWD46" s="473"/>
      <c r="VWE46" s="473"/>
      <c r="VWF46" s="473"/>
      <c r="VWG46" s="473"/>
      <c r="VWH46" s="473"/>
      <c r="VWI46" s="473"/>
      <c r="VWJ46" s="473"/>
      <c r="VWK46" s="473"/>
      <c r="VWL46" s="473"/>
      <c r="VWM46" s="473"/>
      <c r="VWN46" s="473"/>
      <c r="VWO46" s="473"/>
      <c r="VWP46" s="473"/>
      <c r="VWQ46" s="473"/>
      <c r="VWR46" s="473"/>
      <c r="VWS46" s="473"/>
      <c r="VWT46" s="473"/>
      <c r="VWU46" s="473"/>
      <c r="VWV46" s="473"/>
      <c r="VWW46" s="473"/>
      <c r="VWX46" s="473"/>
      <c r="VWY46" s="473"/>
      <c r="VWZ46" s="473"/>
      <c r="VXA46" s="473"/>
      <c r="VXB46" s="473"/>
      <c r="VXC46" s="473"/>
      <c r="VXD46" s="473"/>
      <c r="VXE46" s="473"/>
      <c r="VXF46" s="473"/>
      <c r="VXG46" s="473"/>
      <c r="VXH46" s="473"/>
      <c r="VXI46" s="473"/>
      <c r="VXJ46" s="473"/>
      <c r="VXK46" s="473"/>
      <c r="VXL46" s="473"/>
      <c r="VXM46" s="473"/>
      <c r="VXN46" s="473"/>
      <c r="VXO46" s="473"/>
      <c r="VXP46" s="473"/>
      <c r="VXQ46" s="473"/>
      <c r="VXR46" s="473"/>
      <c r="VXS46" s="473"/>
      <c r="VXT46" s="473"/>
      <c r="VXU46" s="473"/>
      <c r="VXV46" s="473"/>
      <c r="VXW46" s="473"/>
      <c r="VXX46" s="473"/>
      <c r="VXY46" s="473"/>
      <c r="VXZ46" s="473"/>
      <c r="VYA46" s="473"/>
      <c r="VYB46" s="473"/>
      <c r="VYC46" s="473"/>
      <c r="VYD46" s="473"/>
      <c r="VYE46" s="473"/>
      <c r="VYF46" s="473"/>
      <c r="VYG46" s="473"/>
      <c r="VYH46" s="473"/>
      <c r="VYI46" s="473"/>
      <c r="VYJ46" s="473"/>
      <c r="VYK46" s="473"/>
      <c r="VYL46" s="473"/>
      <c r="VYM46" s="473"/>
      <c r="VYN46" s="473"/>
      <c r="VYO46" s="473"/>
      <c r="VYP46" s="473"/>
      <c r="VYQ46" s="473"/>
      <c r="VYR46" s="473"/>
      <c r="VYS46" s="473"/>
      <c r="VYT46" s="473"/>
      <c r="VYU46" s="473"/>
      <c r="VYV46" s="473"/>
      <c r="VYW46" s="473"/>
      <c r="VYX46" s="473"/>
      <c r="VYY46" s="473"/>
      <c r="VYZ46" s="473"/>
      <c r="VZA46" s="473"/>
      <c r="VZB46" s="473"/>
      <c r="VZC46" s="473"/>
      <c r="VZD46" s="473"/>
      <c r="VZE46" s="473"/>
      <c r="VZF46" s="473"/>
      <c r="VZG46" s="473"/>
      <c r="VZH46" s="473"/>
      <c r="VZI46" s="473"/>
      <c r="VZJ46" s="473"/>
      <c r="VZK46" s="473"/>
      <c r="VZL46" s="473"/>
      <c r="VZM46" s="473"/>
      <c r="VZN46" s="473"/>
      <c r="VZO46" s="473"/>
      <c r="VZP46" s="473"/>
      <c r="VZQ46" s="473"/>
      <c r="VZR46" s="473"/>
      <c r="VZS46" s="473"/>
      <c r="VZT46" s="473"/>
      <c r="VZU46" s="473"/>
      <c r="VZV46" s="473"/>
      <c r="VZW46" s="473"/>
      <c r="VZX46" s="473"/>
      <c r="VZY46" s="473"/>
      <c r="VZZ46" s="473"/>
      <c r="WAA46" s="473"/>
      <c r="WAB46" s="473"/>
      <c r="WAC46" s="473"/>
      <c r="WAD46" s="473"/>
      <c r="WAE46" s="473"/>
      <c r="WAF46" s="473"/>
      <c r="WAG46" s="473"/>
      <c r="WAH46" s="473"/>
      <c r="WAI46" s="473"/>
      <c r="WAJ46" s="473"/>
      <c r="WAK46" s="473"/>
      <c r="WAL46" s="473"/>
      <c r="WAM46" s="473"/>
      <c r="WAN46" s="473"/>
      <c r="WAO46" s="473"/>
      <c r="WAP46" s="473"/>
      <c r="WAQ46" s="473"/>
      <c r="WAR46" s="473"/>
      <c r="WAS46" s="473"/>
      <c r="WAT46" s="473"/>
      <c r="WAU46" s="473"/>
      <c r="WAV46" s="473"/>
      <c r="WAW46" s="473"/>
      <c r="WAX46" s="473"/>
      <c r="WAY46" s="473"/>
      <c r="WAZ46" s="473"/>
      <c r="WBA46" s="473"/>
      <c r="WBB46" s="473"/>
      <c r="WBC46" s="473"/>
      <c r="WBD46" s="473"/>
      <c r="WBE46" s="473"/>
      <c r="WBF46" s="473"/>
      <c r="WBG46" s="473"/>
      <c r="WBH46" s="473"/>
      <c r="WBI46" s="473"/>
      <c r="WBJ46" s="473"/>
      <c r="WBK46" s="473"/>
      <c r="WBL46" s="473"/>
      <c r="WBM46" s="473"/>
      <c r="WBN46" s="473"/>
      <c r="WBO46" s="473"/>
      <c r="WBP46" s="473"/>
      <c r="WBQ46" s="473"/>
      <c r="WBR46" s="473"/>
      <c r="WBS46" s="473"/>
      <c r="WBT46" s="473"/>
      <c r="WBU46" s="473"/>
      <c r="WBV46" s="473"/>
      <c r="WBW46" s="473"/>
      <c r="WBX46" s="473"/>
      <c r="WBY46" s="473"/>
      <c r="WBZ46" s="473"/>
      <c r="WCA46" s="473"/>
      <c r="WCB46" s="473"/>
      <c r="WCC46" s="473"/>
      <c r="WCD46" s="473"/>
      <c r="WCE46" s="473"/>
      <c r="WCF46" s="473"/>
      <c r="WCG46" s="473"/>
      <c r="WCH46" s="473"/>
      <c r="WCI46" s="473"/>
      <c r="WCJ46" s="473"/>
      <c r="WCK46" s="473"/>
      <c r="WCL46" s="473"/>
      <c r="WCM46" s="473"/>
      <c r="WCN46" s="473"/>
      <c r="WCO46" s="473"/>
      <c r="WCP46" s="473"/>
      <c r="WCQ46" s="473"/>
      <c r="WCR46" s="473"/>
      <c r="WCS46" s="473"/>
      <c r="WCT46" s="473"/>
      <c r="WCU46" s="473"/>
      <c r="WCV46" s="473"/>
      <c r="WCW46" s="473"/>
      <c r="WCX46" s="473"/>
      <c r="WCY46" s="473"/>
      <c r="WCZ46" s="473"/>
      <c r="WDA46" s="473"/>
      <c r="WDB46" s="473"/>
      <c r="WDC46" s="473"/>
      <c r="WDD46" s="473"/>
      <c r="WDE46" s="473"/>
      <c r="WDF46" s="473"/>
      <c r="WDG46" s="473"/>
      <c r="WDH46" s="473"/>
      <c r="WDI46" s="473"/>
      <c r="WDJ46" s="473"/>
      <c r="WDK46" s="473"/>
      <c r="WDL46" s="473"/>
      <c r="WDM46" s="473"/>
      <c r="WDN46" s="473"/>
      <c r="WDO46" s="473"/>
      <c r="WDP46" s="473"/>
      <c r="WDQ46" s="473"/>
      <c r="WDR46" s="473"/>
      <c r="WDS46" s="473"/>
      <c r="WDT46" s="473"/>
      <c r="WDU46" s="473"/>
      <c r="WDV46" s="473"/>
      <c r="WDW46" s="473"/>
      <c r="WDX46" s="473"/>
      <c r="WDY46" s="473"/>
      <c r="WDZ46" s="473"/>
      <c r="WEA46" s="473"/>
      <c r="WEB46" s="473"/>
      <c r="WEC46" s="473"/>
      <c r="WED46" s="473"/>
      <c r="WEE46" s="473"/>
      <c r="WEF46" s="473"/>
      <c r="WEG46" s="473"/>
      <c r="WEH46" s="473"/>
      <c r="WEI46" s="473"/>
      <c r="WEJ46" s="473"/>
      <c r="WEK46" s="473"/>
      <c r="WEL46" s="473"/>
      <c r="WEM46" s="473"/>
      <c r="WEN46" s="473"/>
      <c r="WEO46" s="473"/>
      <c r="WEP46" s="473"/>
      <c r="WEQ46" s="473"/>
      <c r="WER46" s="473"/>
      <c r="WES46" s="473"/>
      <c r="WET46" s="473"/>
      <c r="WEU46" s="473"/>
      <c r="WEV46" s="473"/>
      <c r="WEW46" s="473"/>
      <c r="WEX46" s="473"/>
      <c r="WEY46" s="473"/>
      <c r="WEZ46" s="473"/>
      <c r="WFA46" s="473"/>
      <c r="WFB46" s="473"/>
      <c r="WFC46" s="473"/>
      <c r="WFD46" s="473"/>
      <c r="WFE46" s="473"/>
      <c r="WFF46" s="473"/>
      <c r="WFG46" s="473"/>
      <c r="WFH46" s="473"/>
      <c r="WFI46" s="473"/>
      <c r="WFJ46" s="473"/>
      <c r="WFK46" s="473"/>
      <c r="WFL46" s="473"/>
      <c r="WFM46" s="473"/>
      <c r="WFN46" s="473"/>
      <c r="WFO46" s="473"/>
      <c r="WFP46" s="473"/>
      <c r="WFQ46" s="473"/>
      <c r="WFR46" s="473"/>
      <c r="WFS46" s="473"/>
      <c r="WFT46" s="473"/>
      <c r="WFU46" s="473"/>
      <c r="WFV46" s="473"/>
      <c r="WFW46" s="473"/>
      <c r="WFX46" s="473"/>
      <c r="WFY46" s="473"/>
      <c r="WFZ46" s="473"/>
      <c r="WGA46" s="473"/>
      <c r="WGB46" s="473"/>
      <c r="WGC46" s="473"/>
      <c r="WGD46" s="473"/>
      <c r="WGE46" s="473"/>
      <c r="WGF46" s="473"/>
      <c r="WGG46" s="473"/>
      <c r="WGH46" s="473"/>
      <c r="WGI46" s="473"/>
      <c r="WGJ46" s="473"/>
      <c r="WGK46" s="473"/>
      <c r="WGL46" s="473"/>
      <c r="WGM46" s="473"/>
      <c r="WGN46" s="473"/>
      <c r="WGO46" s="473"/>
      <c r="WGP46" s="473"/>
      <c r="WGQ46" s="473"/>
      <c r="WGR46" s="473"/>
      <c r="WGS46" s="473"/>
      <c r="WGT46" s="473"/>
      <c r="WGU46" s="473"/>
      <c r="WGV46" s="473"/>
      <c r="WGW46" s="473"/>
      <c r="WGX46" s="473"/>
      <c r="WGY46" s="473"/>
      <c r="WGZ46" s="473"/>
      <c r="WHA46" s="473"/>
      <c r="WHB46" s="473"/>
      <c r="WHC46" s="473"/>
      <c r="WHD46" s="473"/>
      <c r="WHE46" s="473"/>
      <c r="WHF46" s="473"/>
      <c r="WHG46" s="473"/>
      <c r="WHH46" s="473"/>
      <c r="WHI46" s="473"/>
      <c r="WHJ46" s="473"/>
      <c r="WHK46" s="473"/>
      <c r="WHL46" s="473"/>
      <c r="WHM46" s="473"/>
      <c r="WHN46" s="473"/>
      <c r="WHO46" s="473"/>
      <c r="WHP46" s="473"/>
      <c r="WHQ46" s="473"/>
      <c r="WHR46" s="473"/>
      <c r="WHS46" s="473"/>
      <c r="WHT46" s="473"/>
      <c r="WHU46" s="473"/>
      <c r="WHV46" s="473"/>
      <c r="WHW46" s="473"/>
      <c r="WHX46" s="473"/>
      <c r="WHY46" s="473"/>
      <c r="WHZ46" s="473"/>
      <c r="WIA46" s="473"/>
      <c r="WIB46" s="473"/>
      <c r="WIC46" s="473"/>
      <c r="WID46" s="473"/>
      <c r="WIE46" s="473"/>
      <c r="WIF46" s="473"/>
      <c r="WIG46" s="473"/>
      <c r="WIH46" s="473"/>
      <c r="WII46" s="473"/>
      <c r="WIJ46" s="473"/>
      <c r="WIK46" s="473"/>
      <c r="WIL46" s="473"/>
      <c r="WIM46" s="473"/>
      <c r="WIN46" s="473"/>
      <c r="WIO46" s="473"/>
      <c r="WIP46" s="473"/>
      <c r="WIQ46" s="473"/>
      <c r="WIR46" s="473"/>
      <c r="WIS46" s="473"/>
      <c r="WIT46" s="473"/>
      <c r="WIU46" s="473"/>
      <c r="WIV46" s="473"/>
      <c r="WIW46" s="473"/>
      <c r="WIX46" s="473"/>
      <c r="WIY46" s="473"/>
      <c r="WIZ46" s="473"/>
      <c r="WJA46" s="473"/>
      <c r="WJB46" s="473"/>
      <c r="WJC46" s="473"/>
      <c r="WJD46" s="473"/>
      <c r="WJE46" s="473"/>
      <c r="WJF46" s="473"/>
      <c r="WJG46" s="473"/>
      <c r="WJH46" s="473"/>
      <c r="WJI46" s="473"/>
      <c r="WJJ46" s="473"/>
      <c r="WJK46" s="473"/>
      <c r="WJL46" s="473"/>
      <c r="WJM46" s="473"/>
      <c r="WJN46" s="473"/>
      <c r="WJO46" s="473"/>
      <c r="WJP46" s="473"/>
      <c r="WJQ46" s="473"/>
      <c r="WJR46" s="473"/>
      <c r="WJS46" s="473"/>
      <c r="WJT46" s="473"/>
      <c r="WJU46" s="473"/>
      <c r="WJV46" s="473"/>
      <c r="WJW46" s="473"/>
      <c r="WJX46" s="473"/>
      <c r="WJY46" s="473"/>
      <c r="WJZ46" s="473"/>
      <c r="WKA46" s="473"/>
      <c r="WKB46" s="473"/>
      <c r="WKC46" s="473"/>
      <c r="WKD46" s="473"/>
      <c r="WKE46" s="473"/>
      <c r="WKF46" s="473"/>
      <c r="WKG46" s="473"/>
      <c r="WKH46" s="473"/>
      <c r="WKI46" s="473"/>
      <c r="WKJ46" s="473"/>
      <c r="WKK46" s="473"/>
      <c r="WKL46" s="473"/>
      <c r="WKM46" s="473"/>
      <c r="WKN46" s="473"/>
      <c r="WKO46" s="473"/>
      <c r="WKP46" s="473"/>
      <c r="WKQ46" s="473"/>
      <c r="WKR46" s="473"/>
      <c r="WKS46" s="473"/>
      <c r="WKT46" s="473"/>
      <c r="WKU46" s="473"/>
      <c r="WKV46" s="473"/>
      <c r="WKW46" s="473"/>
      <c r="WKX46" s="473"/>
      <c r="WKY46" s="473"/>
      <c r="WKZ46" s="473"/>
      <c r="WLA46" s="473"/>
      <c r="WLB46" s="473"/>
      <c r="WLC46" s="473"/>
      <c r="WLD46" s="473"/>
      <c r="WLE46" s="473"/>
      <c r="WLF46" s="473"/>
      <c r="WLG46" s="473"/>
      <c r="WLH46" s="473"/>
      <c r="WLI46" s="473"/>
      <c r="WLJ46" s="473"/>
      <c r="WLK46" s="473"/>
      <c r="WLL46" s="473"/>
      <c r="WLM46" s="473"/>
      <c r="WLN46" s="473"/>
      <c r="WLO46" s="473"/>
      <c r="WLP46" s="473"/>
      <c r="WLQ46" s="473"/>
      <c r="WLR46" s="473"/>
      <c r="WLS46" s="473"/>
      <c r="WLT46" s="473"/>
      <c r="WLU46" s="473"/>
      <c r="WLV46" s="473"/>
      <c r="WLW46" s="473"/>
      <c r="WLX46" s="473"/>
      <c r="WLY46" s="473"/>
      <c r="WLZ46" s="473"/>
      <c r="WMA46" s="473"/>
      <c r="WMB46" s="473"/>
      <c r="WMC46" s="473"/>
      <c r="WMD46" s="473"/>
      <c r="WME46" s="473"/>
      <c r="WMF46" s="473"/>
      <c r="WMG46" s="473"/>
      <c r="WMH46" s="473"/>
      <c r="WMI46" s="473"/>
      <c r="WMJ46" s="473"/>
      <c r="WMK46" s="473"/>
      <c r="WML46" s="473"/>
      <c r="WMM46" s="473"/>
      <c r="WMN46" s="473"/>
      <c r="WMO46" s="473"/>
      <c r="WMP46" s="473"/>
      <c r="WMQ46" s="473"/>
      <c r="WMR46" s="473"/>
      <c r="WMS46" s="473"/>
      <c r="WMT46" s="473"/>
      <c r="WMU46" s="473"/>
      <c r="WMV46" s="473"/>
      <c r="WMW46" s="473"/>
      <c r="WMX46" s="473"/>
      <c r="WMY46" s="473"/>
      <c r="WMZ46" s="473"/>
      <c r="WNA46" s="473"/>
      <c r="WNB46" s="473"/>
      <c r="WNC46" s="473"/>
      <c r="WND46" s="473"/>
      <c r="WNE46" s="473"/>
      <c r="WNF46" s="473"/>
      <c r="WNG46" s="473"/>
      <c r="WNH46" s="473"/>
      <c r="WNI46" s="473"/>
      <c r="WNJ46" s="473"/>
      <c r="WNK46" s="473"/>
      <c r="WNL46" s="473"/>
      <c r="WNM46" s="473"/>
      <c r="WNN46" s="473"/>
      <c r="WNO46" s="473"/>
      <c r="WNP46" s="473"/>
      <c r="WNQ46" s="473"/>
      <c r="WNR46" s="473"/>
      <c r="WNS46" s="473"/>
      <c r="WNT46" s="473"/>
      <c r="WNU46" s="473"/>
      <c r="WNV46" s="473"/>
      <c r="WNW46" s="473"/>
      <c r="WNX46" s="473"/>
      <c r="WNY46" s="473"/>
      <c r="WNZ46" s="473"/>
      <c r="WOA46" s="473"/>
      <c r="WOB46" s="473"/>
      <c r="WOC46" s="473"/>
      <c r="WOD46" s="473"/>
      <c r="WOE46" s="473"/>
      <c r="WOF46" s="473"/>
      <c r="WOG46" s="473"/>
      <c r="WOH46" s="473"/>
      <c r="WOI46" s="473"/>
      <c r="WOJ46" s="473"/>
      <c r="WOK46" s="473"/>
      <c r="WOL46" s="473"/>
      <c r="WOM46" s="473"/>
      <c r="WON46" s="473"/>
      <c r="WOO46" s="473"/>
      <c r="WOP46" s="473"/>
      <c r="WOQ46" s="473"/>
      <c r="WOR46" s="473"/>
      <c r="WOS46" s="473"/>
      <c r="WOT46" s="473"/>
      <c r="WOU46" s="473"/>
      <c r="WOV46" s="473"/>
      <c r="WOW46" s="473"/>
      <c r="WOX46" s="473"/>
      <c r="WOY46" s="473"/>
      <c r="WOZ46" s="473"/>
      <c r="WPA46" s="473"/>
      <c r="WPB46" s="473"/>
      <c r="WPC46" s="473"/>
      <c r="WPD46" s="473"/>
      <c r="WPE46" s="473"/>
      <c r="WPF46" s="473"/>
      <c r="WPG46" s="473"/>
      <c r="WPH46" s="473"/>
      <c r="WPI46" s="473"/>
      <c r="WPJ46" s="473"/>
      <c r="WPK46" s="473"/>
      <c r="WPL46" s="473"/>
      <c r="WPM46" s="473"/>
      <c r="WPN46" s="473"/>
      <c r="WPO46" s="473"/>
      <c r="WPP46" s="473"/>
      <c r="WPQ46" s="473"/>
      <c r="WPR46" s="473"/>
      <c r="WPS46" s="473"/>
      <c r="WPT46" s="473"/>
      <c r="WPU46" s="473"/>
      <c r="WPV46" s="473"/>
      <c r="WPW46" s="473"/>
      <c r="WPX46" s="473"/>
      <c r="WPY46" s="473"/>
      <c r="WPZ46" s="473"/>
      <c r="WQA46" s="473"/>
      <c r="WQB46" s="473"/>
      <c r="WQC46" s="473"/>
      <c r="WQD46" s="473"/>
      <c r="WQE46" s="473"/>
      <c r="WQF46" s="473"/>
      <c r="WQG46" s="473"/>
      <c r="WQH46" s="473"/>
      <c r="WQI46" s="473"/>
      <c r="WQJ46" s="473"/>
      <c r="WQK46" s="473"/>
      <c r="WQL46" s="473"/>
      <c r="WQM46" s="473"/>
      <c r="WQN46" s="473"/>
      <c r="WQO46" s="473"/>
      <c r="WQP46" s="473"/>
      <c r="WQQ46" s="473"/>
      <c r="WQR46" s="473"/>
      <c r="WQS46" s="473"/>
      <c r="WQT46" s="473"/>
      <c r="WQU46" s="473"/>
      <c r="WQV46" s="473"/>
      <c r="WQW46" s="473"/>
      <c r="WQX46" s="473"/>
      <c r="WQY46" s="473"/>
      <c r="WQZ46" s="473"/>
      <c r="WRA46" s="473"/>
      <c r="WRB46" s="473"/>
      <c r="WRC46" s="473"/>
      <c r="WRD46" s="473"/>
      <c r="WRE46" s="473"/>
      <c r="WRF46" s="473"/>
      <c r="WRG46" s="473"/>
      <c r="WRH46" s="473"/>
      <c r="WRI46" s="473"/>
      <c r="WRJ46" s="473"/>
      <c r="WRK46" s="473"/>
      <c r="WRL46" s="473"/>
      <c r="WRM46" s="473"/>
      <c r="WRN46" s="473"/>
      <c r="WRO46" s="473"/>
      <c r="WRP46" s="473"/>
      <c r="WRQ46" s="473"/>
      <c r="WRR46" s="473"/>
      <c r="WRS46" s="473"/>
      <c r="WRT46" s="473"/>
      <c r="WRU46" s="473"/>
      <c r="WRV46" s="473"/>
      <c r="WRW46" s="473"/>
      <c r="WRX46" s="473"/>
      <c r="WRY46" s="473"/>
      <c r="WRZ46" s="473"/>
      <c r="WSA46" s="473"/>
      <c r="WSB46" s="473"/>
      <c r="WSC46" s="473"/>
      <c r="WSD46" s="473"/>
      <c r="WSE46" s="473"/>
      <c r="WSF46" s="473"/>
      <c r="WSG46" s="473"/>
      <c r="WSH46" s="473"/>
      <c r="WSI46" s="473"/>
      <c r="WSJ46" s="473"/>
      <c r="WSK46" s="473"/>
      <c r="WSL46" s="473"/>
      <c r="WSM46" s="473"/>
      <c r="WSN46" s="473"/>
      <c r="WSO46" s="473"/>
      <c r="WSP46" s="473"/>
      <c r="WSQ46" s="473"/>
      <c r="WSR46" s="473"/>
      <c r="WSS46" s="473"/>
      <c r="WST46" s="473"/>
      <c r="WSU46" s="473"/>
      <c r="WSV46" s="473"/>
      <c r="WSW46" s="473"/>
      <c r="WSX46" s="473"/>
      <c r="WSY46" s="473"/>
      <c r="WSZ46" s="473"/>
      <c r="WTA46" s="473"/>
      <c r="WTB46" s="473"/>
      <c r="WTC46" s="473"/>
      <c r="WTD46" s="473"/>
      <c r="WTE46" s="473"/>
      <c r="WTF46" s="473"/>
      <c r="WTG46" s="473"/>
      <c r="WTH46" s="473"/>
      <c r="WTI46" s="473"/>
      <c r="WTJ46" s="473"/>
      <c r="WTK46" s="473"/>
      <c r="WTL46" s="473"/>
      <c r="WTM46" s="473"/>
      <c r="WTN46" s="473"/>
      <c r="WTO46" s="473"/>
      <c r="WTP46" s="473"/>
      <c r="WTQ46" s="473"/>
      <c r="WTR46" s="473"/>
      <c r="WTS46" s="473"/>
      <c r="WTT46" s="473"/>
      <c r="WTU46" s="473"/>
      <c r="WTV46" s="473"/>
      <c r="WTW46" s="473"/>
      <c r="WTX46" s="473"/>
      <c r="WTY46" s="473"/>
      <c r="WTZ46" s="473"/>
      <c r="WUA46" s="473"/>
      <c r="WUB46" s="473"/>
      <c r="WUC46" s="473"/>
      <c r="WUD46" s="473"/>
      <c r="WUE46" s="473"/>
      <c r="WUF46" s="473"/>
      <c r="WUG46" s="473"/>
      <c r="WUH46" s="473"/>
      <c r="WUI46" s="473"/>
      <c r="WUJ46" s="473"/>
      <c r="WUK46" s="473"/>
      <c r="WUL46" s="473"/>
      <c r="WUM46" s="473"/>
      <c r="WUN46" s="473"/>
      <c r="WUO46" s="473"/>
      <c r="WUP46" s="473"/>
      <c r="WUQ46" s="473"/>
      <c r="WUR46" s="473"/>
      <c r="WUS46" s="473"/>
      <c r="WUT46" s="473"/>
      <c r="WUU46" s="473"/>
      <c r="WUV46" s="473"/>
      <c r="WUW46" s="473"/>
      <c r="WUX46" s="473"/>
      <c r="WUY46" s="473"/>
      <c r="WUZ46" s="473"/>
      <c r="WVA46" s="473"/>
      <c r="WVB46" s="473"/>
      <c r="WVC46" s="473"/>
      <c r="WVD46" s="473"/>
      <c r="WVE46" s="473"/>
      <c r="WVF46" s="473"/>
      <c r="WVG46" s="473"/>
      <c r="WVH46" s="473"/>
      <c r="WVI46" s="473"/>
      <c r="WVJ46" s="473"/>
      <c r="WVK46" s="473"/>
      <c r="WVL46" s="473"/>
      <c r="WVM46" s="473"/>
      <c r="WVN46" s="473"/>
      <c r="WVO46" s="473"/>
      <c r="WVP46" s="473"/>
      <c r="WVQ46" s="473"/>
      <c r="WVR46" s="473"/>
      <c r="WVS46" s="473"/>
      <c r="WVT46" s="473"/>
      <c r="WVU46" s="473"/>
      <c r="WVV46" s="473"/>
      <c r="WVW46" s="473"/>
      <c r="WVX46" s="473"/>
      <c r="WVY46" s="473"/>
      <c r="WVZ46" s="473"/>
      <c r="WWA46" s="473"/>
      <c r="WWB46" s="473"/>
      <c r="WWC46" s="473"/>
      <c r="WWD46" s="473"/>
      <c r="WWE46" s="473"/>
      <c r="WWF46" s="473"/>
      <c r="WWG46" s="473"/>
      <c r="WWH46" s="473"/>
      <c r="WWI46" s="473"/>
      <c r="WWJ46" s="473"/>
      <c r="WWK46" s="473"/>
      <c r="WWL46" s="473"/>
      <c r="WWM46" s="473"/>
      <c r="WWN46" s="473"/>
      <c r="WWO46" s="473"/>
      <c r="WWP46" s="473"/>
      <c r="WWQ46" s="473"/>
      <c r="WWR46" s="473"/>
      <c r="WWS46" s="473"/>
      <c r="WWT46" s="473"/>
      <c r="WWU46" s="473"/>
      <c r="WWV46" s="473"/>
      <c r="WWW46" s="473"/>
      <c r="WWX46" s="473"/>
      <c r="WWY46" s="473"/>
      <c r="WWZ46" s="473"/>
      <c r="WXA46" s="473"/>
      <c r="WXB46" s="473"/>
      <c r="WXC46" s="473"/>
      <c r="WXD46" s="473"/>
      <c r="WXE46" s="473"/>
      <c r="WXF46" s="473"/>
      <c r="WXG46" s="473"/>
      <c r="WXH46" s="473"/>
      <c r="WXI46" s="473"/>
      <c r="WXJ46" s="473"/>
      <c r="WXK46" s="473"/>
      <c r="WXL46" s="473"/>
      <c r="WXM46" s="473"/>
      <c r="WXN46" s="473"/>
      <c r="WXO46" s="473"/>
      <c r="WXP46" s="473"/>
      <c r="WXQ46" s="473"/>
      <c r="WXR46" s="473"/>
      <c r="WXS46" s="473"/>
      <c r="WXT46" s="473"/>
      <c r="WXU46" s="473"/>
      <c r="WXV46" s="473"/>
      <c r="WXW46" s="473"/>
      <c r="WXX46" s="473"/>
      <c r="WXY46" s="473"/>
      <c r="WXZ46" s="473"/>
      <c r="WYA46" s="473"/>
      <c r="WYB46" s="473"/>
      <c r="WYC46" s="473"/>
      <c r="WYD46" s="473"/>
      <c r="WYE46" s="473"/>
      <c r="WYF46" s="473"/>
      <c r="WYG46" s="473"/>
      <c r="WYH46" s="473"/>
      <c r="WYI46" s="473"/>
      <c r="WYJ46" s="473"/>
      <c r="WYK46" s="473"/>
      <c r="WYL46" s="473"/>
      <c r="WYM46" s="473"/>
      <c r="WYN46" s="473"/>
      <c r="WYO46" s="473"/>
      <c r="WYP46" s="473"/>
      <c r="WYQ46" s="473"/>
      <c r="WYR46" s="473"/>
      <c r="WYS46" s="473"/>
      <c r="WYT46" s="473"/>
      <c r="WYU46" s="473"/>
      <c r="WYV46" s="473"/>
      <c r="WYW46" s="473"/>
      <c r="WYX46" s="473"/>
      <c r="WYY46" s="473"/>
      <c r="WYZ46" s="473"/>
      <c r="WZA46" s="473"/>
      <c r="WZB46" s="473"/>
      <c r="WZC46" s="473"/>
      <c r="WZD46" s="473"/>
      <c r="WZE46" s="473"/>
      <c r="WZF46" s="473"/>
      <c r="WZG46" s="473"/>
      <c r="WZH46" s="473"/>
      <c r="WZI46" s="473"/>
      <c r="WZJ46" s="473"/>
      <c r="WZK46" s="473"/>
      <c r="WZL46" s="473"/>
      <c r="WZM46" s="473"/>
      <c r="WZN46" s="473"/>
      <c r="WZO46" s="473"/>
      <c r="WZP46" s="473"/>
      <c r="WZQ46" s="473"/>
      <c r="WZR46" s="473"/>
      <c r="WZS46" s="473"/>
      <c r="WZT46" s="473"/>
      <c r="WZU46" s="473"/>
      <c r="WZV46" s="473"/>
      <c r="WZW46" s="473"/>
      <c r="WZX46" s="473"/>
      <c r="WZY46" s="473"/>
      <c r="WZZ46" s="473"/>
      <c r="XAA46" s="473"/>
      <c r="XAB46" s="473"/>
      <c r="XAC46" s="473"/>
      <c r="XAD46" s="473"/>
      <c r="XAE46" s="473"/>
      <c r="XAF46" s="473"/>
      <c r="XAG46" s="473"/>
      <c r="XAH46" s="473"/>
      <c r="XAI46" s="473"/>
      <c r="XAJ46" s="473"/>
      <c r="XAK46" s="473"/>
      <c r="XAL46" s="473"/>
      <c r="XAM46" s="473"/>
      <c r="XAN46" s="473"/>
      <c r="XAO46" s="473"/>
      <c r="XAP46" s="473"/>
      <c r="XAQ46" s="473"/>
      <c r="XAR46" s="473"/>
      <c r="XAS46" s="473"/>
      <c r="XAT46" s="473"/>
      <c r="XAU46" s="473"/>
      <c r="XAV46" s="473"/>
      <c r="XAW46" s="473"/>
      <c r="XAX46" s="473"/>
      <c r="XAY46" s="473"/>
      <c r="XAZ46" s="473"/>
      <c r="XBA46" s="473"/>
      <c r="XBB46" s="473"/>
      <c r="XBC46" s="473"/>
      <c r="XBD46" s="473"/>
      <c r="XBE46" s="473"/>
      <c r="XBF46" s="473"/>
      <c r="XBG46" s="473"/>
      <c r="XBH46" s="473"/>
      <c r="XBI46" s="473"/>
      <c r="XBJ46" s="473"/>
      <c r="XBK46" s="473"/>
      <c r="XBL46" s="473"/>
      <c r="XBM46" s="473"/>
      <c r="XBN46" s="473"/>
      <c r="XBO46" s="473"/>
      <c r="XBP46" s="473"/>
      <c r="XBQ46" s="473"/>
      <c r="XBR46" s="473"/>
      <c r="XBS46" s="473"/>
      <c r="XBT46" s="473"/>
      <c r="XBU46" s="473"/>
      <c r="XBV46" s="473"/>
      <c r="XBW46" s="473"/>
      <c r="XBX46" s="473"/>
      <c r="XBY46" s="473"/>
      <c r="XBZ46" s="473"/>
      <c r="XCA46" s="473"/>
      <c r="XCB46" s="473"/>
      <c r="XCC46" s="473"/>
      <c r="XCD46" s="473"/>
      <c r="XCE46" s="473"/>
      <c r="XCF46" s="473"/>
      <c r="XCG46" s="473"/>
      <c r="XCH46" s="473"/>
      <c r="XCI46" s="473"/>
      <c r="XCJ46" s="473"/>
      <c r="XCK46" s="473"/>
      <c r="XCL46" s="473"/>
      <c r="XCM46" s="473"/>
      <c r="XCN46" s="473"/>
      <c r="XCO46" s="473"/>
      <c r="XCP46" s="473"/>
      <c r="XCQ46" s="473"/>
      <c r="XCR46" s="473"/>
      <c r="XCS46" s="473"/>
      <c r="XCT46" s="473"/>
      <c r="XCU46" s="473"/>
      <c r="XCV46" s="473"/>
      <c r="XCW46" s="473"/>
      <c r="XCX46" s="473"/>
      <c r="XCY46" s="473"/>
      <c r="XCZ46" s="473"/>
      <c r="XDA46" s="473"/>
      <c r="XDB46" s="473"/>
      <c r="XDC46" s="473"/>
      <c r="XDD46" s="473"/>
      <c r="XDE46" s="473"/>
      <c r="XDF46" s="473"/>
      <c r="XDG46" s="473"/>
      <c r="XDH46" s="473"/>
      <c r="XDI46" s="473"/>
      <c r="XDJ46" s="473"/>
      <c r="XDK46" s="473"/>
      <c r="XDL46" s="473"/>
      <c r="XDM46" s="473"/>
      <c r="XDN46" s="473"/>
      <c r="XDO46" s="473"/>
      <c r="XDP46" s="473"/>
      <c r="XDQ46" s="473"/>
      <c r="XDR46" s="473"/>
      <c r="XDS46" s="473"/>
      <c r="XDT46" s="473"/>
      <c r="XDU46" s="473"/>
      <c r="XDV46" s="473"/>
      <c r="XDW46" s="473"/>
      <c r="XDX46" s="473"/>
      <c r="XDY46" s="473"/>
      <c r="XDZ46" s="473"/>
      <c r="XEA46" s="473"/>
      <c r="XEB46" s="473"/>
      <c r="XEC46" s="473"/>
      <c r="XED46" s="473"/>
      <c r="XEE46" s="473"/>
      <c r="XEF46" s="473"/>
      <c r="XEG46" s="473"/>
      <c r="XEH46" s="473"/>
      <c r="XEI46" s="473"/>
      <c r="XEJ46" s="473"/>
      <c r="XEK46" s="473"/>
      <c r="XEL46" s="473"/>
      <c r="XEM46" s="473"/>
      <c r="XEN46" s="473"/>
      <c r="XEO46" s="473"/>
      <c r="XEP46" s="473"/>
      <c r="XEQ46" s="473"/>
      <c r="XER46" s="473"/>
      <c r="XES46" s="473"/>
      <c r="XET46" s="473"/>
      <c r="XEU46" s="473"/>
      <c r="XEV46" s="473"/>
      <c r="XEW46" s="473"/>
      <c r="XEX46" s="473"/>
      <c r="XEY46" s="473"/>
      <c r="XEZ46" s="473"/>
    </row>
    <row r="47" spans="1:16380" s="464" customFormat="1" ht="17.25" customHeight="1">
      <c r="A47" s="374" t="s">
        <v>241</v>
      </c>
      <c r="B47" s="374"/>
      <c r="C47" s="374"/>
      <c r="D47" s="374"/>
      <c r="E47" s="374"/>
      <c r="F47" s="374"/>
      <c r="G47" s="374"/>
      <c r="H47" s="374"/>
      <c r="I47" s="374"/>
      <c r="J47" s="374"/>
      <c r="K47" s="374"/>
      <c r="L47" s="374"/>
      <c r="M47" s="374"/>
      <c r="N47" s="374"/>
      <c r="O47" s="374"/>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c r="CJ47" s="319"/>
      <c r="CK47" s="319"/>
      <c r="CL47" s="319"/>
      <c r="CM47" s="319"/>
      <c r="CN47" s="319"/>
      <c r="CO47" s="319"/>
      <c r="CP47" s="319"/>
      <c r="CQ47" s="319"/>
      <c r="CR47" s="319"/>
      <c r="CS47" s="319"/>
      <c r="CT47" s="319"/>
      <c r="CU47" s="319"/>
      <c r="CV47" s="319"/>
      <c r="CW47" s="319"/>
      <c r="CX47" s="319"/>
      <c r="CY47" s="319"/>
      <c r="CZ47" s="319"/>
      <c r="DA47" s="319"/>
      <c r="DB47" s="319"/>
      <c r="DC47" s="319"/>
      <c r="DD47" s="319"/>
      <c r="DE47" s="319"/>
      <c r="DF47" s="319"/>
      <c r="DG47" s="319"/>
      <c r="DH47" s="319"/>
      <c r="DI47" s="319"/>
      <c r="DJ47" s="319"/>
      <c r="DK47" s="319"/>
      <c r="DL47" s="319"/>
      <c r="DM47" s="319"/>
      <c r="DN47" s="319"/>
      <c r="DO47" s="319"/>
      <c r="DP47" s="319"/>
      <c r="DQ47" s="319"/>
      <c r="DR47" s="319"/>
      <c r="DS47" s="319"/>
      <c r="DT47" s="319"/>
      <c r="DU47" s="319"/>
      <c r="DV47" s="319"/>
      <c r="DW47" s="319"/>
      <c r="DX47" s="319"/>
      <c r="DY47" s="319"/>
      <c r="DZ47" s="319"/>
      <c r="EA47" s="319"/>
      <c r="EB47" s="319"/>
      <c r="EC47" s="319"/>
      <c r="ED47" s="319"/>
      <c r="EE47" s="319"/>
      <c r="EF47" s="319"/>
      <c r="EG47" s="319"/>
      <c r="EH47" s="319"/>
      <c r="EI47" s="319"/>
      <c r="EJ47" s="319"/>
      <c r="EK47" s="319"/>
      <c r="EL47" s="319"/>
      <c r="EM47" s="319"/>
      <c r="EN47" s="319"/>
      <c r="EO47" s="319"/>
      <c r="EP47" s="319"/>
      <c r="EQ47" s="319"/>
      <c r="ER47" s="319"/>
      <c r="ES47" s="319"/>
      <c r="ET47" s="319"/>
      <c r="EU47" s="319"/>
      <c r="EV47" s="319"/>
      <c r="EW47" s="319"/>
      <c r="EX47" s="319"/>
      <c r="EY47" s="319"/>
      <c r="EZ47" s="319"/>
      <c r="FA47" s="319"/>
      <c r="FB47" s="319"/>
      <c r="FC47" s="319"/>
      <c r="FD47" s="319"/>
      <c r="FE47" s="319"/>
      <c r="FF47" s="319"/>
      <c r="FG47" s="319"/>
      <c r="FH47" s="319"/>
      <c r="FI47" s="319"/>
      <c r="FJ47" s="319"/>
      <c r="FK47" s="319"/>
      <c r="FL47" s="319"/>
      <c r="FM47" s="319"/>
      <c r="FN47" s="319"/>
      <c r="FO47" s="319"/>
      <c r="FP47" s="319"/>
      <c r="FQ47" s="319"/>
      <c r="FR47" s="319"/>
      <c r="FS47" s="319"/>
      <c r="FT47" s="319"/>
      <c r="FU47" s="319"/>
      <c r="FV47" s="319"/>
      <c r="FW47" s="319"/>
      <c r="FX47" s="319"/>
      <c r="FY47" s="319"/>
      <c r="FZ47" s="319"/>
      <c r="GA47" s="319"/>
      <c r="GB47" s="319"/>
      <c r="GC47" s="319"/>
      <c r="GD47" s="319"/>
      <c r="GE47" s="319"/>
      <c r="GF47" s="319"/>
      <c r="GG47" s="319"/>
      <c r="GH47" s="319"/>
      <c r="GI47" s="319"/>
      <c r="GJ47" s="319"/>
      <c r="GK47" s="319"/>
      <c r="GL47" s="319"/>
      <c r="GM47" s="319"/>
      <c r="GN47" s="319"/>
      <c r="GO47" s="319"/>
      <c r="GP47" s="319"/>
      <c r="GQ47" s="319"/>
      <c r="GR47" s="319"/>
      <c r="GS47" s="319"/>
      <c r="GT47" s="319"/>
      <c r="GU47" s="319"/>
      <c r="GV47" s="319"/>
      <c r="GW47" s="319"/>
      <c r="GX47" s="319"/>
      <c r="GY47" s="319"/>
      <c r="GZ47" s="319"/>
      <c r="HA47" s="319"/>
      <c r="HB47" s="319"/>
      <c r="HC47" s="319"/>
      <c r="HD47" s="319"/>
      <c r="HE47" s="319"/>
      <c r="HF47" s="319"/>
      <c r="HG47" s="319"/>
      <c r="HH47" s="319"/>
      <c r="HI47" s="319"/>
      <c r="HJ47" s="319"/>
      <c r="HK47" s="319"/>
      <c r="HL47" s="319"/>
      <c r="HM47" s="319"/>
      <c r="HN47" s="319"/>
      <c r="HO47" s="319"/>
      <c r="HP47" s="319"/>
      <c r="HQ47" s="319"/>
      <c r="HR47" s="319"/>
      <c r="HS47" s="319"/>
      <c r="HT47" s="319"/>
      <c r="HU47" s="319"/>
      <c r="HV47" s="319"/>
      <c r="HW47" s="319"/>
      <c r="HX47" s="319"/>
      <c r="HY47" s="319"/>
      <c r="HZ47" s="319"/>
      <c r="IA47" s="319"/>
      <c r="IB47" s="319"/>
      <c r="IC47" s="319"/>
      <c r="ID47" s="319"/>
      <c r="IE47" s="319"/>
      <c r="IF47" s="319"/>
      <c r="IG47" s="319"/>
      <c r="IH47" s="319"/>
      <c r="II47" s="319"/>
      <c r="IJ47" s="319"/>
      <c r="IK47" s="319"/>
      <c r="IL47" s="319"/>
      <c r="IM47" s="319"/>
      <c r="IN47" s="319"/>
      <c r="IO47" s="319"/>
      <c r="IP47" s="319"/>
      <c r="IQ47" s="319"/>
      <c r="IR47" s="319"/>
      <c r="IS47" s="319"/>
      <c r="IT47" s="319"/>
      <c r="IU47" s="319"/>
      <c r="IV47" s="319"/>
      <c r="IW47" s="319"/>
      <c r="IX47" s="319"/>
      <c r="IY47" s="319"/>
      <c r="IZ47" s="319"/>
      <c r="JA47" s="319"/>
      <c r="JB47" s="319"/>
      <c r="JC47" s="319"/>
      <c r="JD47" s="319"/>
      <c r="JE47" s="319"/>
      <c r="JF47" s="319"/>
      <c r="JG47" s="319"/>
      <c r="JH47" s="319"/>
      <c r="JI47" s="319"/>
      <c r="JJ47" s="319"/>
      <c r="JK47" s="319"/>
      <c r="JL47" s="319"/>
      <c r="JM47" s="319"/>
      <c r="JN47" s="319"/>
      <c r="JO47" s="319"/>
      <c r="JP47" s="319"/>
      <c r="JQ47" s="319"/>
      <c r="JR47" s="319"/>
      <c r="JS47" s="319"/>
      <c r="JT47" s="319"/>
      <c r="JU47" s="319"/>
      <c r="JV47" s="319"/>
      <c r="JW47" s="319"/>
      <c r="JX47" s="319"/>
      <c r="JY47" s="319"/>
      <c r="JZ47" s="319"/>
      <c r="KA47" s="319"/>
      <c r="KB47" s="319"/>
      <c r="KC47" s="319"/>
      <c r="KD47" s="319"/>
      <c r="KE47" s="319"/>
      <c r="KF47" s="319"/>
      <c r="KG47" s="319"/>
      <c r="KH47" s="319"/>
      <c r="KI47" s="319"/>
      <c r="KJ47" s="319"/>
      <c r="KK47" s="319"/>
      <c r="KL47" s="319"/>
      <c r="KM47" s="319"/>
      <c r="KN47" s="319"/>
      <c r="KO47" s="319"/>
      <c r="KP47" s="319"/>
      <c r="KQ47" s="319"/>
      <c r="KR47" s="319"/>
      <c r="KS47" s="319"/>
      <c r="KT47" s="319"/>
      <c r="KU47" s="319"/>
      <c r="KV47" s="319"/>
      <c r="KW47" s="319"/>
      <c r="KX47" s="319"/>
      <c r="KY47" s="319"/>
      <c r="KZ47" s="319"/>
      <c r="LA47" s="319"/>
      <c r="LB47" s="319"/>
      <c r="LC47" s="319"/>
      <c r="LD47" s="319"/>
      <c r="LE47" s="319"/>
      <c r="LF47" s="319"/>
      <c r="LG47" s="319"/>
      <c r="LH47" s="319"/>
      <c r="LI47" s="319"/>
      <c r="LJ47" s="319"/>
      <c r="LK47" s="319"/>
      <c r="LL47" s="319"/>
      <c r="LM47" s="319"/>
      <c r="LN47" s="319"/>
      <c r="LO47" s="319"/>
      <c r="LP47" s="319"/>
      <c r="LQ47" s="319"/>
      <c r="LR47" s="319"/>
      <c r="LS47" s="319"/>
      <c r="LT47" s="319"/>
      <c r="LU47" s="319"/>
      <c r="LV47" s="319"/>
      <c r="LW47" s="319"/>
      <c r="LX47" s="319"/>
      <c r="LY47" s="319"/>
      <c r="LZ47" s="319"/>
      <c r="MA47" s="319"/>
      <c r="MB47" s="319"/>
      <c r="MC47" s="319"/>
      <c r="MD47" s="319"/>
      <c r="ME47" s="319"/>
      <c r="MF47" s="319"/>
      <c r="MG47" s="319"/>
      <c r="MH47" s="319"/>
      <c r="MI47" s="319"/>
      <c r="MJ47" s="319"/>
      <c r="MK47" s="319"/>
      <c r="ML47" s="319"/>
      <c r="MM47" s="319"/>
      <c r="MN47" s="319"/>
      <c r="MO47" s="319"/>
      <c r="MP47" s="319"/>
      <c r="MQ47" s="319"/>
      <c r="MR47" s="319"/>
      <c r="MS47" s="319"/>
      <c r="MT47" s="319"/>
      <c r="MU47" s="319"/>
      <c r="MV47" s="319"/>
      <c r="MW47" s="319"/>
      <c r="MX47" s="319"/>
      <c r="MY47" s="319"/>
      <c r="MZ47" s="319"/>
      <c r="NA47" s="319"/>
      <c r="NB47" s="319"/>
      <c r="NC47" s="319"/>
      <c r="ND47" s="319"/>
      <c r="NE47" s="319"/>
      <c r="NF47" s="319"/>
      <c r="NG47" s="319"/>
      <c r="NH47" s="319"/>
      <c r="NI47" s="319"/>
      <c r="NJ47" s="319"/>
      <c r="NK47" s="319"/>
      <c r="NL47" s="319"/>
      <c r="NM47" s="319"/>
      <c r="NN47" s="319"/>
      <c r="NO47" s="319"/>
      <c r="NP47" s="319"/>
      <c r="NQ47" s="319"/>
      <c r="NR47" s="319"/>
      <c r="NS47" s="319"/>
      <c r="NT47" s="319"/>
      <c r="NU47" s="319"/>
      <c r="NV47" s="319"/>
      <c r="NW47" s="319"/>
      <c r="NX47" s="319"/>
      <c r="NY47" s="319"/>
      <c r="NZ47" s="319"/>
      <c r="OA47" s="319"/>
      <c r="OB47" s="319"/>
      <c r="OC47" s="319"/>
      <c r="OD47" s="319"/>
      <c r="OE47" s="319"/>
      <c r="OF47" s="319"/>
      <c r="OG47" s="319"/>
      <c r="OH47" s="319"/>
      <c r="OI47" s="319"/>
      <c r="OJ47" s="319"/>
      <c r="OK47" s="319"/>
      <c r="OL47" s="319"/>
      <c r="OM47" s="319"/>
      <c r="ON47" s="319"/>
      <c r="OO47" s="319"/>
      <c r="OP47" s="319"/>
      <c r="OQ47" s="319"/>
      <c r="OR47" s="319"/>
      <c r="OS47" s="319"/>
      <c r="OT47" s="319"/>
      <c r="OU47" s="319"/>
      <c r="OV47" s="319"/>
      <c r="OW47" s="319"/>
      <c r="OX47" s="319"/>
      <c r="OY47" s="319"/>
      <c r="OZ47" s="319"/>
      <c r="PA47" s="319"/>
      <c r="PB47" s="319"/>
      <c r="PC47" s="319"/>
      <c r="PD47" s="319"/>
      <c r="PE47" s="319"/>
      <c r="PF47" s="319"/>
      <c r="PG47" s="319"/>
      <c r="PH47" s="319"/>
      <c r="PI47" s="319"/>
      <c r="PJ47" s="319"/>
      <c r="PK47" s="319"/>
      <c r="PL47" s="319"/>
      <c r="PM47" s="319"/>
      <c r="PN47" s="319"/>
      <c r="PO47" s="319"/>
      <c r="PP47" s="319"/>
      <c r="PQ47" s="319"/>
      <c r="PR47" s="319"/>
      <c r="PS47" s="319"/>
      <c r="PT47" s="319"/>
      <c r="PU47" s="319"/>
      <c r="PV47" s="319"/>
      <c r="PW47" s="319"/>
      <c r="PX47" s="319"/>
      <c r="PY47" s="319"/>
      <c r="PZ47" s="319"/>
      <c r="QA47" s="319"/>
      <c r="QB47" s="319"/>
      <c r="QC47" s="319"/>
      <c r="QD47" s="319"/>
      <c r="QE47" s="319"/>
      <c r="QF47" s="319"/>
      <c r="QG47" s="319"/>
      <c r="QH47" s="319"/>
      <c r="QI47" s="319"/>
      <c r="QJ47" s="319"/>
      <c r="QK47" s="319"/>
      <c r="QL47" s="319"/>
      <c r="QM47" s="319"/>
      <c r="QN47" s="319"/>
      <c r="QO47" s="319"/>
      <c r="QP47" s="319"/>
      <c r="QQ47" s="319"/>
      <c r="QR47" s="319"/>
      <c r="QS47" s="319"/>
      <c r="QT47" s="319"/>
      <c r="QU47" s="319"/>
      <c r="QV47" s="319"/>
      <c r="QW47" s="319"/>
      <c r="QX47" s="319"/>
      <c r="QY47" s="319"/>
      <c r="QZ47" s="319"/>
      <c r="RA47" s="319"/>
      <c r="RB47" s="319"/>
      <c r="RC47" s="319"/>
      <c r="RD47" s="319"/>
      <c r="RE47" s="319"/>
      <c r="RF47" s="319"/>
      <c r="RG47" s="319"/>
      <c r="RH47" s="319"/>
      <c r="RI47" s="319"/>
      <c r="RJ47" s="319"/>
      <c r="RK47" s="319"/>
      <c r="RL47" s="319"/>
      <c r="RM47" s="319"/>
      <c r="RN47" s="319"/>
      <c r="RO47" s="319"/>
      <c r="RP47" s="319"/>
      <c r="RQ47" s="319"/>
      <c r="RR47" s="319"/>
      <c r="RS47" s="319"/>
      <c r="RT47" s="319"/>
      <c r="RU47" s="319"/>
      <c r="RV47" s="319"/>
      <c r="RW47" s="319"/>
      <c r="RX47" s="319"/>
      <c r="RY47" s="319"/>
      <c r="RZ47" s="319"/>
      <c r="SA47" s="319"/>
      <c r="SB47" s="319"/>
      <c r="SC47" s="319"/>
      <c r="SD47" s="319"/>
      <c r="SE47" s="319"/>
      <c r="SF47" s="319"/>
      <c r="SG47" s="319"/>
      <c r="SH47" s="319"/>
      <c r="SI47" s="319"/>
      <c r="SJ47" s="319"/>
      <c r="SK47" s="319"/>
      <c r="SL47" s="319"/>
      <c r="SM47" s="319"/>
      <c r="SN47" s="319"/>
      <c r="SO47" s="319"/>
      <c r="SP47" s="319"/>
      <c r="SQ47" s="319"/>
      <c r="SR47" s="319"/>
      <c r="SS47" s="319"/>
      <c r="ST47" s="319"/>
      <c r="SU47" s="319"/>
      <c r="SV47" s="319"/>
      <c r="SW47" s="319"/>
      <c r="SX47" s="319"/>
      <c r="SY47" s="319"/>
      <c r="SZ47" s="319"/>
      <c r="TA47" s="319"/>
      <c r="TB47" s="319"/>
      <c r="TC47" s="319"/>
      <c r="TD47" s="319"/>
      <c r="TE47" s="319"/>
      <c r="TF47" s="319"/>
      <c r="TG47" s="319"/>
      <c r="TH47" s="319"/>
      <c r="TI47" s="319"/>
      <c r="TJ47" s="319"/>
      <c r="TK47" s="319"/>
      <c r="TL47" s="319"/>
      <c r="TM47" s="319"/>
      <c r="TN47" s="319"/>
      <c r="TO47" s="319"/>
      <c r="TP47" s="319"/>
      <c r="TQ47" s="319"/>
      <c r="TR47" s="319"/>
      <c r="TS47" s="319"/>
      <c r="TT47" s="319"/>
      <c r="TU47" s="319"/>
      <c r="TV47" s="319"/>
      <c r="TW47" s="319"/>
      <c r="TX47" s="319"/>
      <c r="TY47" s="319"/>
      <c r="TZ47" s="319"/>
      <c r="UA47" s="319"/>
      <c r="UB47" s="319"/>
      <c r="UC47" s="319"/>
      <c r="UD47" s="319"/>
      <c r="UE47" s="319"/>
      <c r="UF47" s="319"/>
      <c r="UG47" s="319"/>
      <c r="UH47" s="319"/>
      <c r="UI47" s="319"/>
      <c r="UJ47" s="319"/>
      <c r="UK47" s="319"/>
      <c r="UL47" s="319"/>
      <c r="UM47" s="319"/>
      <c r="UN47" s="319"/>
      <c r="UO47" s="319"/>
      <c r="UP47" s="319"/>
      <c r="UQ47" s="319"/>
      <c r="UR47" s="319"/>
      <c r="US47" s="319"/>
      <c r="UT47" s="319"/>
      <c r="UU47" s="319"/>
      <c r="UV47" s="319"/>
      <c r="UW47" s="319"/>
      <c r="UX47" s="319"/>
      <c r="UY47" s="319"/>
      <c r="UZ47" s="319"/>
      <c r="VA47" s="319"/>
      <c r="VB47" s="319"/>
      <c r="VC47" s="319"/>
      <c r="VD47" s="319"/>
      <c r="VE47" s="319"/>
      <c r="VF47" s="319"/>
      <c r="VG47" s="319"/>
      <c r="VH47" s="319"/>
      <c r="VI47" s="319"/>
      <c r="VJ47" s="319"/>
      <c r="VK47" s="319"/>
      <c r="VL47" s="319"/>
      <c r="VM47" s="319"/>
      <c r="VN47" s="319"/>
      <c r="VO47" s="319"/>
      <c r="VP47" s="319"/>
      <c r="VQ47" s="319"/>
      <c r="VR47" s="319"/>
      <c r="VS47" s="319"/>
      <c r="VT47" s="319"/>
      <c r="VU47" s="319"/>
      <c r="VV47" s="319"/>
      <c r="VW47" s="319"/>
      <c r="VX47" s="319"/>
      <c r="VY47" s="319"/>
      <c r="VZ47" s="319"/>
      <c r="WA47" s="319"/>
      <c r="WB47" s="319"/>
      <c r="WC47" s="319"/>
      <c r="WD47" s="319"/>
      <c r="WE47" s="319"/>
      <c r="WF47" s="319"/>
      <c r="WG47" s="319"/>
      <c r="WH47" s="319"/>
      <c r="WI47" s="319"/>
      <c r="WJ47" s="319"/>
      <c r="WK47" s="319"/>
      <c r="WL47" s="319"/>
      <c r="WM47" s="319"/>
      <c r="WN47" s="319"/>
      <c r="WO47" s="319"/>
      <c r="WP47" s="319"/>
      <c r="WQ47" s="319"/>
      <c r="WR47" s="319"/>
      <c r="WS47" s="319"/>
      <c r="WT47" s="319"/>
      <c r="WU47" s="319"/>
      <c r="WV47" s="319"/>
      <c r="WW47" s="319"/>
      <c r="WX47" s="319"/>
      <c r="WY47" s="319"/>
      <c r="WZ47" s="319"/>
      <c r="XA47" s="319"/>
      <c r="XB47" s="319"/>
      <c r="XC47" s="319"/>
      <c r="XD47" s="319"/>
      <c r="XE47" s="319"/>
      <c r="XF47" s="319"/>
      <c r="XG47" s="319"/>
      <c r="XH47" s="319"/>
      <c r="XI47" s="319"/>
      <c r="XJ47" s="319"/>
      <c r="XK47" s="319"/>
      <c r="XL47" s="319"/>
      <c r="XM47" s="319"/>
      <c r="XN47" s="319"/>
      <c r="XO47" s="319"/>
      <c r="XP47" s="319"/>
      <c r="XQ47" s="319"/>
      <c r="XR47" s="319"/>
      <c r="XS47" s="319"/>
      <c r="XT47" s="319"/>
      <c r="XU47" s="319"/>
      <c r="XV47" s="319"/>
      <c r="XW47" s="319"/>
      <c r="XX47" s="319"/>
      <c r="XY47" s="319"/>
      <c r="XZ47" s="319"/>
      <c r="YA47" s="319"/>
      <c r="YB47" s="319"/>
      <c r="YC47" s="319"/>
      <c r="YD47" s="319"/>
      <c r="YE47" s="319"/>
      <c r="YF47" s="319"/>
      <c r="YG47" s="319"/>
      <c r="YH47" s="319"/>
      <c r="YI47" s="319"/>
      <c r="YJ47" s="319"/>
      <c r="YK47" s="319"/>
      <c r="YL47" s="319"/>
      <c r="YM47" s="319"/>
      <c r="YN47" s="319"/>
      <c r="YO47" s="319"/>
      <c r="YP47" s="319"/>
      <c r="YQ47" s="319"/>
      <c r="YR47" s="319"/>
      <c r="YS47" s="319"/>
      <c r="YT47" s="319"/>
      <c r="YU47" s="319"/>
      <c r="YV47" s="319"/>
      <c r="YW47" s="319"/>
      <c r="YX47" s="319"/>
      <c r="YY47" s="319"/>
      <c r="YZ47" s="319"/>
      <c r="ZA47" s="319"/>
      <c r="ZB47" s="319"/>
      <c r="ZC47" s="319"/>
      <c r="ZD47" s="319"/>
      <c r="ZE47" s="319"/>
      <c r="ZF47" s="319"/>
      <c r="ZG47" s="319"/>
      <c r="ZH47" s="319"/>
      <c r="ZI47" s="319"/>
      <c r="ZJ47" s="319"/>
      <c r="ZK47" s="319"/>
      <c r="ZL47" s="319"/>
      <c r="ZM47" s="319"/>
      <c r="ZN47" s="319"/>
      <c r="ZO47" s="319"/>
      <c r="ZP47" s="319"/>
      <c r="ZQ47" s="319"/>
      <c r="ZR47" s="319"/>
      <c r="ZS47" s="319"/>
      <c r="ZT47" s="319"/>
      <c r="ZU47" s="319"/>
      <c r="ZV47" s="319"/>
      <c r="ZW47" s="319"/>
      <c r="ZX47" s="319"/>
      <c r="ZY47" s="319"/>
      <c r="ZZ47" s="319"/>
      <c r="AAA47" s="319"/>
      <c r="AAB47" s="319"/>
      <c r="AAC47" s="319"/>
      <c r="AAD47" s="319"/>
      <c r="AAE47" s="319"/>
      <c r="AAF47" s="319"/>
      <c r="AAG47" s="319"/>
      <c r="AAH47" s="319"/>
      <c r="AAI47" s="319"/>
      <c r="AAJ47" s="319"/>
      <c r="AAK47" s="319"/>
      <c r="AAL47" s="319"/>
      <c r="AAM47" s="319"/>
      <c r="AAN47" s="319"/>
      <c r="AAO47" s="319"/>
      <c r="AAP47" s="319"/>
      <c r="AAQ47" s="319"/>
      <c r="AAR47" s="319"/>
      <c r="AAS47" s="319"/>
      <c r="AAT47" s="319"/>
      <c r="AAU47" s="319"/>
      <c r="AAV47" s="319"/>
      <c r="AAW47" s="319"/>
      <c r="AAX47" s="319"/>
      <c r="AAY47" s="319"/>
      <c r="AAZ47" s="319"/>
      <c r="ABA47" s="319"/>
      <c r="ABB47" s="319"/>
      <c r="ABC47" s="319"/>
      <c r="ABD47" s="319"/>
      <c r="ABE47" s="319"/>
      <c r="ABF47" s="319"/>
      <c r="ABG47" s="319"/>
      <c r="ABH47" s="319"/>
      <c r="ABI47" s="319"/>
      <c r="ABJ47" s="319"/>
      <c r="ABK47" s="319"/>
      <c r="ABL47" s="319"/>
      <c r="ABM47" s="319"/>
      <c r="ABN47" s="319"/>
      <c r="ABO47" s="319"/>
      <c r="ABP47" s="319"/>
      <c r="ABQ47" s="319"/>
      <c r="ABR47" s="319"/>
      <c r="ABS47" s="319"/>
      <c r="ABT47" s="319"/>
      <c r="ABU47" s="319"/>
      <c r="ABV47" s="319"/>
      <c r="ABW47" s="319"/>
      <c r="ABX47" s="319"/>
      <c r="ABY47" s="319"/>
      <c r="ABZ47" s="319"/>
      <c r="ACA47" s="319"/>
      <c r="ACB47" s="319"/>
      <c r="ACC47" s="319"/>
      <c r="ACD47" s="319"/>
      <c r="ACE47" s="319"/>
      <c r="ACF47" s="319"/>
      <c r="ACG47" s="319"/>
      <c r="ACH47" s="319"/>
      <c r="ACI47" s="319"/>
      <c r="ACJ47" s="319"/>
      <c r="ACK47" s="319"/>
      <c r="ACL47" s="319"/>
      <c r="ACM47" s="319"/>
      <c r="ACN47" s="319"/>
      <c r="ACO47" s="319"/>
      <c r="ACP47" s="319"/>
      <c r="ACQ47" s="319"/>
      <c r="ACR47" s="319"/>
      <c r="ACS47" s="319"/>
      <c r="ACT47" s="319"/>
      <c r="ACU47" s="319"/>
      <c r="ACV47" s="319"/>
      <c r="ACW47" s="319"/>
      <c r="ACX47" s="319"/>
      <c r="ACY47" s="319"/>
      <c r="ACZ47" s="319"/>
      <c r="ADA47" s="319"/>
      <c r="ADB47" s="319"/>
      <c r="ADC47" s="319"/>
      <c r="ADD47" s="319"/>
      <c r="ADE47" s="319"/>
      <c r="ADF47" s="319"/>
      <c r="ADG47" s="319"/>
      <c r="ADH47" s="319"/>
      <c r="ADI47" s="319"/>
      <c r="ADJ47" s="319"/>
      <c r="ADK47" s="319"/>
      <c r="ADL47" s="319"/>
      <c r="ADM47" s="319"/>
      <c r="ADN47" s="319"/>
      <c r="ADO47" s="319"/>
      <c r="ADP47" s="319"/>
      <c r="ADQ47" s="319"/>
      <c r="ADR47" s="319"/>
      <c r="ADS47" s="319"/>
      <c r="ADT47" s="319"/>
      <c r="ADU47" s="319"/>
      <c r="ADV47" s="319"/>
      <c r="ADW47" s="319"/>
      <c r="ADX47" s="319"/>
      <c r="ADY47" s="319"/>
      <c r="ADZ47" s="319"/>
      <c r="AEA47" s="319"/>
      <c r="AEB47" s="319"/>
      <c r="AEC47" s="319"/>
      <c r="AED47" s="319"/>
      <c r="AEE47" s="319"/>
      <c r="AEF47" s="319"/>
      <c r="AEG47" s="319"/>
      <c r="AEH47" s="319"/>
      <c r="AEI47" s="319"/>
      <c r="AEJ47" s="319"/>
      <c r="AEK47" s="319"/>
      <c r="AEL47" s="319"/>
      <c r="AEM47" s="319"/>
      <c r="AEN47" s="319"/>
      <c r="AEO47" s="319"/>
      <c r="AEP47" s="319"/>
      <c r="AEQ47" s="319"/>
      <c r="AER47" s="319"/>
      <c r="AES47" s="319"/>
      <c r="AET47" s="319"/>
      <c r="AEU47" s="319"/>
      <c r="AEV47" s="319"/>
      <c r="AEW47" s="319"/>
      <c r="AEX47" s="319"/>
      <c r="AEY47" s="319"/>
      <c r="AEZ47" s="319"/>
      <c r="AFA47" s="319"/>
      <c r="AFB47" s="319"/>
      <c r="AFC47" s="319"/>
      <c r="AFD47" s="319"/>
      <c r="AFE47" s="319"/>
      <c r="AFF47" s="319"/>
      <c r="AFG47" s="319"/>
      <c r="AFH47" s="319"/>
      <c r="AFI47" s="319"/>
      <c r="AFJ47" s="319"/>
      <c r="AFK47" s="319"/>
      <c r="AFL47" s="319"/>
      <c r="AFM47" s="319"/>
      <c r="AFN47" s="319"/>
      <c r="AFO47" s="319"/>
      <c r="AFP47" s="319"/>
      <c r="AFQ47" s="319"/>
      <c r="AFR47" s="319"/>
      <c r="AFS47" s="319"/>
      <c r="AFT47" s="319"/>
      <c r="AFU47" s="319"/>
      <c r="AFV47" s="319"/>
      <c r="AFW47" s="319"/>
      <c r="AFX47" s="319"/>
      <c r="AFY47" s="319"/>
      <c r="AFZ47" s="319"/>
      <c r="AGA47" s="319"/>
      <c r="AGB47" s="319"/>
      <c r="AGC47" s="319"/>
      <c r="AGD47" s="319"/>
      <c r="AGE47" s="319"/>
      <c r="AGF47" s="319"/>
      <c r="AGG47" s="319"/>
      <c r="AGH47" s="319"/>
      <c r="AGI47" s="319"/>
      <c r="AGJ47" s="319"/>
      <c r="AGK47" s="319"/>
      <c r="AGL47" s="319"/>
      <c r="AGM47" s="319"/>
      <c r="AGN47" s="319"/>
      <c r="AGO47" s="319"/>
      <c r="AGP47" s="319"/>
      <c r="AGQ47" s="319"/>
      <c r="AGR47" s="319"/>
      <c r="AGS47" s="319"/>
      <c r="AGT47" s="319"/>
      <c r="AGU47" s="319"/>
      <c r="AGV47" s="319"/>
      <c r="AGW47" s="319"/>
      <c r="AGX47" s="319"/>
      <c r="AGY47" s="319"/>
      <c r="AGZ47" s="319"/>
      <c r="AHA47" s="319"/>
      <c r="AHB47" s="319"/>
      <c r="AHC47" s="319"/>
      <c r="AHD47" s="319"/>
      <c r="AHE47" s="319"/>
      <c r="AHF47" s="319"/>
      <c r="AHG47" s="319"/>
      <c r="AHH47" s="319"/>
      <c r="AHI47" s="319"/>
      <c r="AHJ47" s="319"/>
      <c r="AHK47" s="319"/>
      <c r="AHL47" s="319"/>
      <c r="AHM47" s="319"/>
      <c r="AHN47" s="319"/>
      <c r="AHO47" s="319"/>
      <c r="AHP47" s="319"/>
      <c r="AHQ47" s="319"/>
      <c r="AHR47" s="319"/>
      <c r="AHS47" s="319"/>
      <c r="AHT47" s="319"/>
      <c r="AHU47" s="319"/>
      <c r="AHV47" s="319"/>
      <c r="AHW47" s="319"/>
      <c r="AHX47" s="319"/>
      <c r="AHY47" s="319"/>
      <c r="AHZ47" s="319"/>
      <c r="AIA47" s="319"/>
      <c r="AIB47" s="319"/>
      <c r="AIC47" s="319"/>
      <c r="AID47" s="319"/>
      <c r="AIE47" s="319"/>
      <c r="AIF47" s="319"/>
      <c r="AIG47" s="319"/>
      <c r="AIH47" s="319"/>
      <c r="AII47" s="319"/>
      <c r="AIJ47" s="319"/>
      <c r="AIK47" s="319"/>
      <c r="AIL47" s="319"/>
      <c r="AIM47" s="319"/>
      <c r="AIN47" s="319"/>
      <c r="AIO47" s="319"/>
      <c r="AIP47" s="319"/>
      <c r="AIQ47" s="319"/>
      <c r="AIR47" s="319"/>
      <c r="AIS47" s="319"/>
      <c r="AIT47" s="319"/>
      <c r="AIU47" s="319"/>
      <c r="AIV47" s="319"/>
      <c r="AIW47" s="319"/>
      <c r="AIX47" s="319"/>
      <c r="AIY47" s="319"/>
      <c r="AIZ47" s="319"/>
      <c r="AJA47" s="319"/>
      <c r="AJB47" s="319"/>
      <c r="AJC47" s="319"/>
      <c r="AJD47" s="319"/>
      <c r="AJE47" s="319"/>
      <c r="AJF47" s="319"/>
      <c r="AJG47" s="319"/>
      <c r="AJH47" s="319"/>
      <c r="AJI47" s="319"/>
      <c r="AJJ47" s="319"/>
      <c r="AJK47" s="319"/>
      <c r="AJL47" s="319"/>
      <c r="AJM47" s="319"/>
      <c r="AJN47" s="319"/>
      <c r="AJO47" s="319"/>
      <c r="AJP47" s="319"/>
      <c r="AJQ47" s="319"/>
      <c r="AJR47" s="319"/>
      <c r="AJS47" s="319"/>
      <c r="AJT47" s="319"/>
      <c r="AJU47" s="319"/>
      <c r="AJV47" s="319"/>
      <c r="AJW47" s="319"/>
      <c r="AJX47" s="319"/>
      <c r="AJY47" s="319"/>
      <c r="AJZ47" s="319"/>
      <c r="AKA47" s="319"/>
      <c r="AKB47" s="319"/>
      <c r="AKC47" s="319"/>
      <c r="AKD47" s="319"/>
      <c r="AKE47" s="319"/>
      <c r="AKF47" s="319"/>
      <c r="AKG47" s="319"/>
      <c r="AKH47" s="319"/>
      <c r="AKI47" s="319"/>
      <c r="AKJ47" s="319"/>
      <c r="AKK47" s="319"/>
      <c r="AKL47" s="319"/>
      <c r="AKM47" s="319"/>
      <c r="AKN47" s="319"/>
      <c r="AKO47" s="319"/>
      <c r="AKP47" s="319"/>
      <c r="AKQ47" s="319"/>
      <c r="AKR47" s="319"/>
      <c r="AKS47" s="319"/>
      <c r="AKT47" s="319"/>
      <c r="AKU47" s="319"/>
      <c r="AKV47" s="319"/>
      <c r="AKW47" s="319"/>
      <c r="AKX47" s="319"/>
      <c r="AKY47" s="319"/>
      <c r="AKZ47" s="319"/>
      <c r="ALA47" s="319"/>
      <c r="ALB47" s="319"/>
      <c r="ALC47" s="319"/>
      <c r="ALD47" s="319"/>
      <c r="ALE47" s="319"/>
      <c r="ALF47" s="319"/>
      <c r="ALG47" s="319"/>
      <c r="ALH47" s="319"/>
      <c r="ALI47" s="319"/>
      <c r="ALJ47" s="319"/>
      <c r="ALK47" s="319"/>
      <c r="ALL47" s="319"/>
      <c r="ALM47" s="319"/>
      <c r="ALN47" s="319"/>
      <c r="ALO47" s="319"/>
      <c r="ALP47" s="319"/>
      <c r="ALQ47" s="319"/>
      <c r="ALR47" s="319"/>
      <c r="ALS47" s="319"/>
      <c r="ALT47" s="319"/>
      <c r="ALU47" s="319"/>
      <c r="ALV47" s="319"/>
      <c r="ALW47" s="319"/>
      <c r="ALX47" s="319"/>
      <c r="ALY47" s="319"/>
      <c r="ALZ47" s="319"/>
      <c r="AMA47" s="319"/>
      <c r="AMB47" s="319"/>
      <c r="AMC47" s="319"/>
      <c r="AMD47" s="319"/>
      <c r="AME47" s="319"/>
      <c r="AMF47" s="319"/>
      <c r="AMG47" s="319"/>
      <c r="AMH47" s="319"/>
      <c r="AMI47" s="319"/>
      <c r="AMJ47" s="319"/>
      <c r="AMK47" s="319"/>
      <c r="AML47" s="319"/>
      <c r="AMM47" s="319"/>
      <c r="AMN47" s="319"/>
      <c r="AMO47" s="319"/>
      <c r="AMP47" s="319"/>
      <c r="AMQ47" s="319"/>
      <c r="AMR47" s="319"/>
      <c r="AMS47" s="319"/>
      <c r="AMT47" s="319"/>
      <c r="AMU47" s="319"/>
      <c r="AMV47" s="319"/>
      <c r="AMW47" s="319"/>
      <c r="AMX47" s="319"/>
      <c r="AMY47" s="319"/>
      <c r="AMZ47" s="319"/>
      <c r="ANA47" s="319"/>
      <c r="ANB47" s="319"/>
      <c r="ANC47" s="319"/>
      <c r="AND47" s="319"/>
      <c r="ANE47" s="319"/>
      <c r="ANF47" s="319"/>
      <c r="ANG47" s="319"/>
      <c r="ANH47" s="319"/>
      <c r="ANI47" s="319"/>
      <c r="ANJ47" s="319"/>
      <c r="ANK47" s="319"/>
      <c r="ANL47" s="319"/>
      <c r="ANM47" s="319"/>
      <c r="ANN47" s="319"/>
      <c r="ANO47" s="319"/>
      <c r="ANP47" s="319"/>
      <c r="ANQ47" s="319"/>
      <c r="ANR47" s="319"/>
      <c r="ANS47" s="319"/>
      <c r="ANT47" s="319"/>
      <c r="ANU47" s="319"/>
      <c r="ANV47" s="319"/>
      <c r="ANW47" s="319"/>
      <c r="ANX47" s="319"/>
      <c r="ANY47" s="319"/>
      <c r="ANZ47" s="319"/>
      <c r="AOA47" s="319"/>
      <c r="AOB47" s="319"/>
      <c r="AOC47" s="319"/>
      <c r="AOD47" s="319"/>
      <c r="AOE47" s="319"/>
      <c r="AOF47" s="319"/>
      <c r="AOG47" s="319"/>
      <c r="AOH47" s="319"/>
      <c r="AOI47" s="319"/>
      <c r="AOJ47" s="319"/>
      <c r="AOK47" s="319"/>
      <c r="AOL47" s="319"/>
      <c r="AOM47" s="319"/>
      <c r="AON47" s="319"/>
      <c r="AOO47" s="319"/>
      <c r="AOP47" s="319"/>
      <c r="AOQ47" s="319"/>
      <c r="AOR47" s="319"/>
      <c r="AOS47" s="319"/>
      <c r="AOT47" s="319"/>
      <c r="AOU47" s="319"/>
      <c r="AOV47" s="319"/>
      <c r="AOW47" s="319"/>
      <c r="AOX47" s="319"/>
      <c r="AOY47" s="319"/>
      <c r="AOZ47" s="319"/>
      <c r="APA47" s="319"/>
      <c r="APB47" s="319"/>
      <c r="APC47" s="319"/>
      <c r="APD47" s="319"/>
      <c r="APE47" s="319"/>
      <c r="APF47" s="319"/>
      <c r="APG47" s="319"/>
      <c r="APH47" s="319"/>
      <c r="API47" s="319"/>
      <c r="APJ47" s="319"/>
      <c r="APK47" s="319"/>
      <c r="APL47" s="319"/>
      <c r="APM47" s="319"/>
      <c r="APN47" s="319"/>
      <c r="APO47" s="319"/>
      <c r="APP47" s="319"/>
      <c r="APQ47" s="319"/>
      <c r="APR47" s="319"/>
      <c r="APS47" s="319"/>
      <c r="APT47" s="319"/>
      <c r="APU47" s="319"/>
      <c r="APV47" s="319"/>
      <c r="APW47" s="319"/>
      <c r="APX47" s="319"/>
      <c r="APY47" s="319"/>
      <c r="APZ47" s="319"/>
      <c r="AQA47" s="319"/>
      <c r="AQB47" s="319"/>
      <c r="AQC47" s="319"/>
      <c r="AQD47" s="319"/>
      <c r="AQE47" s="319"/>
      <c r="AQF47" s="319"/>
      <c r="AQG47" s="319"/>
      <c r="AQH47" s="319"/>
      <c r="AQI47" s="319"/>
      <c r="AQJ47" s="319"/>
      <c r="AQK47" s="319"/>
      <c r="AQL47" s="319"/>
      <c r="AQM47" s="319"/>
      <c r="AQN47" s="319"/>
      <c r="AQO47" s="319"/>
      <c r="AQP47" s="319"/>
      <c r="AQQ47" s="319"/>
      <c r="AQR47" s="319"/>
      <c r="AQS47" s="319"/>
      <c r="AQT47" s="319"/>
      <c r="AQU47" s="319"/>
      <c r="AQV47" s="319"/>
      <c r="AQW47" s="319"/>
      <c r="AQX47" s="319"/>
      <c r="AQY47" s="319"/>
      <c r="AQZ47" s="319"/>
      <c r="ARA47" s="319"/>
      <c r="ARB47" s="319"/>
      <c r="ARC47" s="319"/>
      <c r="ARD47" s="319"/>
      <c r="ARE47" s="319"/>
      <c r="ARF47" s="319"/>
      <c r="ARG47" s="319"/>
      <c r="ARH47" s="319"/>
      <c r="ARI47" s="319"/>
      <c r="ARJ47" s="319"/>
      <c r="ARK47" s="319"/>
      <c r="ARL47" s="319"/>
      <c r="ARM47" s="319"/>
      <c r="ARN47" s="319"/>
      <c r="ARO47" s="319"/>
      <c r="ARP47" s="319"/>
      <c r="ARQ47" s="319"/>
      <c r="ARR47" s="319"/>
      <c r="ARS47" s="319"/>
      <c r="ART47" s="319"/>
      <c r="ARU47" s="319"/>
      <c r="ARV47" s="319"/>
      <c r="ARW47" s="319"/>
      <c r="ARX47" s="319"/>
      <c r="ARY47" s="319"/>
      <c r="ARZ47" s="319"/>
      <c r="ASA47" s="319"/>
      <c r="ASB47" s="319"/>
      <c r="ASC47" s="319"/>
      <c r="ASD47" s="319"/>
      <c r="ASE47" s="319"/>
      <c r="ASF47" s="319"/>
      <c r="ASG47" s="319"/>
      <c r="ASH47" s="319"/>
      <c r="ASI47" s="319"/>
      <c r="ASJ47" s="319"/>
      <c r="ASK47" s="319"/>
      <c r="ASL47" s="319"/>
      <c r="ASM47" s="319"/>
      <c r="ASN47" s="319"/>
      <c r="ASO47" s="319"/>
      <c r="ASP47" s="319"/>
      <c r="ASQ47" s="319"/>
      <c r="ASR47" s="319"/>
      <c r="ASS47" s="319"/>
      <c r="AST47" s="319"/>
      <c r="ASU47" s="319"/>
      <c r="ASV47" s="319"/>
      <c r="ASW47" s="319"/>
      <c r="ASX47" s="319"/>
      <c r="ASY47" s="319"/>
      <c r="ASZ47" s="319"/>
      <c r="ATA47" s="319"/>
      <c r="ATB47" s="319"/>
      <c r="ATC47" s="319"/>
      <c r="ATD47" s="319"/>
      <c r="ATE47" s="319"/>
      <c r="ATF47" s="319"/>
      <c r="ATG47" s="319"/>
      <c r="ATH47" s="319"/>
      <c r="ATI47" s="319"/>
      <c r="ATJ47" s="319"/>
      <c r="ATK47" s="319"/>
      <c r="ATL47" s="319"/>
      <c r="ATM47" s="319"/>
      <c r="ATN47" s="319"/>
      <c r="ATO47" s="319"/>
      <c r="ATP47" s="319"/>
      <c r="ATQ47" s="319"/>
      <c r="ATR47" s="319"/>
      <c r="ATS47" s="319"/>
      <c r="ATT47" s="319"/>
      <c r="ATU47" s="319"/>
      <c r="ATV47" s="319"/>
      <c r="ATW47" s="319"/>
      <c r="ATX47" s="319"/>
      <c r="ATY47" s="319"/>
      <c r="ATZ47" s="319"/>
      <c r="AUA47" s="319"/>
      <c r="AUB47" s="319"/>
      <c r="AUC47" s="319"/>
      <c r="AUD47" s="319"/>
      <c r="AUE47" s="319"/>
      <c r="AUF47" s="319"/>
      <c r="AUG47" s="319"/>
      <c r="AUH47" s="319"/>
      <c r="AUI47" s="319"/>
      <c r="AUJ47" s="319"/>
      <c r="AUK47" s="319"/>
      <c r="AUL47" s="319"/>
      <c r="AUM47" s="319"/>
      <c r="AUN47" s="319"/>
      <c r="AUO47" s="319"/>
      <c r="AUP47" s="319"/>
      <c r="AUQ47" s="319"/>
      <c r="AUR47" s="319"/>
      <c r="AUS47" s="319"/>
      <c r="AUT47" s="319"/>
      <c r="AUU47" s="319"/>
      <c r="AUV47" s="319"/>
      <c r="AUW47" s="319"/>
      <c r="AUX47" s="319"/>
      <c r="AUY47" s="319"/>
      <c r="AUZ47" s="319"/>
      <c r="AVA47" s="319"/>
      <c r="AVB47" s="319"/>
      <c r="AVC47" s="319"/>
      <c r="AVD47" s="319"/>
      <c r="AVE47" s="319"/>
      <c r="AVF47" s="319"/>
      <c r="AVG47" s="319"/>
      <c r="AVH47" s="319"/>
      <c r="AVI47" s="319"/>
      <c r="AVJ47" s="319"/>
      <c r="AVK47" s="319"/>
      <c r="AVL47" s="319"/>
      <c r="AVM47" s="319"/>
      <c r="AVN47" s="319"/>
      <c r="AVO47" s="319"/>
      <c r="AVP47" s="319"/>
      <c r="AVQ47" s="319"/>
      <c r="AVR47" s="319"/>
      <c r="AVS47" s="319"/>
      <c r="AVT47" s="319"/>
      <c r="AVU47" s="319"/>
      <c r="AVV47" s="319"/>
      <c r="AVW47" s="319"/>
      <c r="AVX47" s="319"/>
      <c r="AVY47" s="319"/>
      <c r="AVZ47" s="319"/>
      <c r="AWA47" s="319"/>
      <c r="AWB47" s="319"/>
      <c r="AWC47" s="319"/>
      <c r="AWD47" s="319"/>
      <c r="AWE47" s="319"/>
      <c r="AWF47" s="319"/>
      <c r="AWG47" s="319"/>
      <c r="AWH47" s="319"/>
      <c r="AWI47" s="319"/>
      <c r="AWJ47" s="319"/>
      <c r="AWK47" s="319"/>
      <c r="AWL47" s="319"/>
      <c r="AWM47" s="319"/>
      <c r="AWN47" s="319"/>
      <c r="AWO47" s="319"/>
      <c r="AWP47" s="319"/>
      <c r="AWQ47" s="319"/>
      <c r="AWR47" s="319"/>
      <c r="AWS47" s="319"/>
      <c r="AWT47" s="319"/>
      <c r="AWU47" s="319"/>
      <c r="AWV47" s="319"/>
      <c r="AWW47" s="319"/>
      <c r="AWX47" s="319"/>
      <c r="AWY47" s="319"/>
      <c r="AWZ47" s="319"/>
      <c r="AXA47" s="319"/>
      <c r="AXB47" s="319"/>
      <c r="AXC47" s="319"/>
      <c r="AXD47" s="319"/>
      <c r="AXE47" s="319"/>
      <c r="AXF47" s="319"/>
      <c r="AXG47" s="319"/>
      <c r="AXH47" s="319"/>
      <c r="AXI47" s="319"/>
      <c r="AXJ47" s="319"/>
      <c r="AXK47" s="319"/>
      <c r="AXL47" s="319"/>
      <c r="AXM47" s="319"/>
      <c r="AXN47" s="319"/>
      <c r="AXO47" s="319"/>
      <c r="AXP47" s="319"/>
      <c r="AXQ47" s="319"/>
      <c r="AXR47" s="319"/>
      <c r="AXS47" s="319"/>
      <c r="AXT47" s="319"/>
      <c r="AXU47" s="319"/>
      <c r="AXV47" s="319"/>
      <c r="AXW47" s="319"/>
      <c r="AXX47" s="319"/>
      <c r="AXY47" s="319"/>
      <c r="AXZ47" s="319"/>
      <c r="AYA47" s="319"/>
      <c r="AYB47" s="319"/>
      <c r="AYC47" s="319"/>
      <c r="AYD47" s="319"/>
      <c r="AYE47" s="319"/>
      <c r="AYF47" s="319"/>
      <c r="AYG47" s="319"/>
      <c r="AYH47" s="319"/>
      <c r="AYI47" s="319"/>
      <c r="AYJ47" s="319"/>
      <c r="AYK47" s="319"/>
      <c r="AYL47" s="319"/>
      <c r="AYM47" s="319"/>
      <c r="AYN47" s="319"/>
      <c r="AYO47" s="319"/>
      <c r="AYP47" s="319"/>
      <c r="AYQ47" s="319"/>
      <c r="AYR47" s="319"/>
      <c r="AYS47" s="319"/>
      <c r="AYT47" s="319"/>
      <c r="AYU47" s="319"/>
      <c r="AYV47" s="319"/>
      <c r="AYW47" s="319"/>
      <c r="AYX47" s="319"/>
      <c r="AYY47" s="319"/>
      <c r="AYZ47" s="319"/>
      <c r="AZA47" s="319"/>
      <c r="AZB47" s="319"/>
      <c r="AZC47" s="319"/>
      <c r="AZD47" s="319"/>
      <c r="AZE47" s="319"/>
      <c r="AZF47" s="319"/>
      <c r="AZG47" s="319"/>
      <c r="AZH47" s="319"/>
      <c r="AZI47" s="319"/>
      <c r="AZJ47" s="319"/>
      <c r="AZK47" s="319"/>
      <c r="AZL47" s="319"/>
      <c r="AZM47" s="319"/>
      <c r="AZN47" s="319"/>
      <c r="AZO47" s="319"/>
      <c r="AZP47" s="319"/>
      <c r="AZQ47" s="319"/>
      <c r="AZR47" s="319"/>
      <c r="AZS47" s="319"/>
      <c r="AZT47" s="319"/>
      <c r="AZU47" s="319"/>
      <c r="AZV47" s="319"/>
      <c r="AZW47" s="319"/>
      <c r="AZX47" s="319"/>
      <c r="AZY47" s="319"/>
      <c r="AZZ47" s="319"/>
      <c r="BAA47" s="319"/>
      <c r="BAB47" s="319"/>
      <c r="BAC47" s="319"/>
      <c r="BAD47" s="319"/>
      <c r="BAE47" s="319"/>
      <c r="BAF47" s="319"/>
      <c r="BAG47" s="319"/>
      <c r="BAH47" s="319"/>
      <c r="BAI47" s="319"/>
      <c r="BAJ47" s="319"/>
      <c r="BAK47" s="319"/>
      <c r="BAL47" s="319"/>
      <c r="BAM47" s="319"/>
      <c r="BAN47" s="319"/>
      <c r="BAO47" s="319"/>
      <c r="BAP47" s="319"/>
      <c r="BAQ47" s="319"/>
      <c r="BAR47" s="319"/>
      <c r="BAS47" s="319"/>
      <c r="BAT47" s="319"/>
      <c r="BAU47" s="319"/>
      <c r="BAV47" s="319"/>
      <c r="BAW47" s="319"/>
      <c r="BAX47" s="319"/>
      <c r="BAY47" s="319"/>
      <c r="BAZ47" s="319"/>
      <c r="BBA47" s="319"/>
      <c r="BBB47" s="319"/>
      <c r="BBC47" s="319"/>
      <c r="BBD47" s="319"/>
      <c r="BBE47" s="319"/>
      <c r="BBF47" s="319"/>
      <c r="BBG47" s="319"/>
      <c r="BBH47" s="319"/>
      <c r="BBI47" s="319"/>
      <c r="BBJ47" s="319"/>
      <c r="BBK47" s="319"/>
      <c r="BBL47" s="319"/>
      <c r="BBM47" s="319"/>
      <c r="BBN47" s="319"/>
      <c r="BBO47" s="319"/>
      <c r="BBP47" s="319"/>
      <c r="BBQ47" s="319"/>
      <c r="BBR47" s="319"/>
      <c r="BBS47" s="319"/>
      <c r="BBT47" s="319"/>
      <c r="BBU47" s="319"/>
      <c r="BBV47" s="319"/>
      <c r="BBW47" s="319"/>
      <c r="BBX47" s="319"/>
      <c r="BBY47" s="319"/>
      <c r="BBZ47" s="319"/>
      <c r="BCA47" s="319"/>
      <c r="BCB47" s="319"/>
      <c r="BCC47" s="319"/>
      <c r="BCD47" s="319"/>
      <c r="BCE47" s="319"/>
      <c r="BCF47" s="319"/>
      <c r="BCG47" s="319"/>
      <c r="BCH47" s="319"/>
      <c r="BCI47" s="319"/>
      <c r="BCJ47" s="319"/>
      <c r="BCK47" s="319"/>
      <c r="BCL47" s="319"/>
      <c r="BCM47" s="319"/>
      <c r="BCN47" s="319"/>
      <c r="BCO47" s="319"/>
      <c r="BCP47" s="319"/>
      <c r="BCQ47" s="319"/>
      <c r="BCR47" s="319"/>
      <c r="BCS47" s="319"/>
      <c r="BCT47" s="319"/>
      <c r="BCU47" s="319"/>
      <c r="BCV47" s="319"/>
      <c r="BCW47" s="319"/>
      <c r="BCX47" s="319"/>
      <c r="BCY47" s="319"/>
      <c r="BCZ47" s="319"/>
      <c r="BDA47" s="319"/>
      <c r="BDB47" s="319"/>
      <c r="BDC47" s="319"/>
      <c r="BDD47" s="319"/>
      <c r="BDE47" s="319"/>
      <c r="BDF47" s="319"/>
      <c r="BDG47" s="319"/>
      <c r="BDH47" s="319"/>
      <c r="BDI47" s="319"/>
      <c r="BDJ47" s="319"/>
      <c r="BDK47" s="319"/>
      <c r="BDL47" s="319"/>
      <c r="BDM47" s="319"/>
      <c r="BDN47" s="319"/>
      <c r="BDO47" s="319"/>
      <c r="BDP47" s="319"/>
      <c r="BDQ47" s="319"/>
      <c r="BDR47" s="319"/>
      <c r="BDS47" s="319"/>
      <c r="BDT47" s="319"/>
      <c r="BDU47" s="319"/>
      <c r="BDV47" s="319"/>
      <c r="BDW47" s="319"/>
      <c r="BDX47" s="319"/>
      <c r="BDY47" s="319"/>
      <c r="BDZ47" s="319"/>
      <c r="BEA47" s="319"/>
      <c r="BEB47" s="319"/>
      <c r="BEC47" s="319"/>
      <c r="BED47" s="319"/>
      <c r="BEE47" s="319"/>
      <c r="BEF47" s="319"/>
      <c r="BEG47" s="319"/>
      <c r="BEH47" s="319"/>
      <c r="BEI47" s="319"/>
      <c r="BEJ47" s="319"/>
      <c r="BEK47" s="319"/>
      <c r="BEL47" s="319"/>
      <c r="BEM47" s="319"/>
      <c r="BEN47" s="319"/>
      <c r="BEO47" s="319"/>
      <c r="BEP47" s="319"/>
      <c r="BEQ47" s="319"/>
      <c r="BER47" s="319"/>
      <c r="BES47" s="319"/>
      <c r="BET47" s="319"/>
      <c r="BEU47" s="319"/>
      <c r="BEV47" s="319"/>
      <c r="BEW47" s="319"/>
      <c r="BEX47" s="319"/>
      <c r="BEY47" s="319"/>
      <c r="BEZ47" s="319"/>
      <c r="BFA47" s="319"/>
      <c r="BFB47" s="319"/>
      <c r="BFC47" s="319"/>
      <c r="BFD47" s="319"/>
      <c r="BFE47" s="319"/>
      <c r="BFF47" s="319"/>
      <c r="BFG47" s="319"/>
      <c r="BFH47" s="319"/>
      <c r="BFI47" s="319"/>
      <c r="BFJ47" s="319"/>
      <c r="BFK47" s="319"/>
      <c r="BFL47" s="319"/>
      <c r="BFM47" s="319"/>
      <c r="BFN47" s="319"/>
      <c r="BFO47" s="319"/>
      <c r="BFP47" s="319"/>
      <c r="BFQ47" s="319"/>
      <c r="BFR47" s="319"/>
      <c r="BFS47" s="319"/>
      <c r="BFT47" s="319"/>
      <c r="BFU47" s="319"/>
      <c r="BFV47" s="319"/>
      <c r="BFW47" s="319"/>
      <c r="BFX47" s="319"/>
      <c r="BFY47" s="319"/>
      <c r="BFZ47" s="319"/>
      <c r="BGA47" s="319"/>
      <c r="BGB47" s="319"/>
      <c r="BGC47" s="319"/>
      <c r="BGD47" s="319"/>
      <c r="BGE47" s="319"/>
      <c r="BGF47" s="319"/>
      <c r="BGG47" s="319"/>
      <c r="BGH47" s="319"/>
      <c r="BGI47" s="319"/>
      <c r="BGJ47" s="319"/>
      <c r="BGK47" s="319"/>
      <c r="BGL47" s="319"/>
      <c r="BGM47" s="319"/>
      <c r="BGN47" s="319"/>
      <c r="BGO47" s="319"/>
      <c r="BGP47" s="319"/>
      <c r="BGQ47" s="319"/>
      <c r="BGR47" s="319"/>
      <c r="BGS47" s="319"/>
      <c r="BGT47" s="319"/>
      <c r="BGU47" s="319"/>
      <c r="BGV47" s="319"/>
      <c r="BGW47" s="319"/>
      <c r="BGX47" s="319"/>
      <c r="BGY47" s="319"/>
      <c r="BGZ47" s="319"/>
      <c r="BHA47" s="319"/>
      <c r="BHB47" s="319"/>
      <c r="BHC47" s="319"/>
      <c r="BHD47" s="319"/>
      <c r="BHE47" s="319"/>
      <c r="BHF47" s="319"/>
      <c r="BHG47" s="319"/>
      <c r="BHH47" s="319"/>
      <c r="BHI47" s="319"/>
      <c r="BHJ47" s="319"/>
      <c r="BHK47" s="319"/>
      <c r="BHL47" s="319"/>
      <c r="BHM47" s="319"/>
      <c r="BHN47" s="319"/>
      <c r="BHO47" s="319"/>
      <c r="BHP47" s="319"/>
      <c r="BHQ47" s="319"/>
      <c r="BHR47" s="319"/>
      <c r="BHS47" s="319"/>
      <c r="BHT47" s="319"/>
      <c r="BHU47" s="319"/>
      <c r="BHV47" s="319"/>
      <c r="BHW47" s="319"/>
      <c r="BHX47" s="319"/>
      <c r="BHY47" s="319"/>
      <c r="BHZ47" s="319"/>
      <c r="BIA47" s="319"/>
      <c r="BIB47" s="319"/>
      <c r="BIC47" s="319"/>
      <c r="BID47" s="319"/>
      <c r="BIE47" s="319"/>
      <c r="BIF47" s="319"/>
      <c r="BIG47" s="319"/>
      <c r="BIH47" s="319"/>
      <c r="BII47" s="319"/>
      <c r="BIJ47" s="319"/>
      <c r="BIK47" s="319"/>
      <c r="BIL47" s="319"/>
      <c r="BIM47" s="319"/>
      <c r="BIN47" s="319"/>
      <c r="BIO47" s="319"/>
      <c r="BIP47" s="319"/>
      <c r="BIQ47" s="319"/>
      <c r="BIR47" s="319"/>
      <c r="BIS47" s="319"/>
      <c r="BIT47" s="319"/>
      <c r="BIU47" s="319"/>
      <c r="BIV47" s="319"/>
      <c r="BIW47" s="319"/>
      <c r="BIX47" s="319"/>
      <c r="BIY47" s="319"/>
      <c r="BIZ47" s="319"/>
      <c r="BJA47" s="319"/>
      <c r="BJB47" s="319"/>
      <c r="BJC47" s="319"/>
      <c r="BJD47" s="319"/>
      <c r="BJE47" s="319"/>
      <c r="BJF47" s="319"/>
      <c r="BJG47" s="319"/>
      <c r="BJH47" s="319"/>
      <c r="BJI47" s="319"/>
      <c r="BJJ47" s="319"/>
      <c r="BJK47" s="319"/>
      <c r="BJL47" s="319"/>
      <c r="BJM47" s="319"/>
      <c r="BJN47" s="319"/>
      <c r="BJO47" s="319"/>
      <c r="BJP47" s="319"/>
      <c r="BJQ47" s="319"/>
      <c r="BJR47" s="319"/>
      <c r="BJS47" s="319"/>
      <c r="BJT47" s="319"/>
      <c r="BJU47" s="319"/>
      <c r="BJV47" s="319"/>
      <c r="BJW47" s="319"/>
      <c r="BJX47" s="319"/>
      <c r="BJY47" s="319"/>
      <c r="BJZ47" s="319"/>
      <c r="BKA47" s="319"/>
      <c r="BKB47" s="319"/>
      <c r="BKC47" s="319"/>
      <c r="BKD47" s="319"/>
      <c r="BKE47" s="319"/>
      <c r="BKF47" s="319"/>
      <c r="BKG47" s="319"/>
      <c r="BKH47" s="319"/>
      <c r="BKI47" s="319"/>
      <c r="BKJ47" s="319"/>
      <c r="BKK47" s="319"/>
      <c r="BKL47" s="319"/>
      <c r="BKM47" s="319"/>
      <c r="BKN47" s="319"/>
      <c r="BKO47" s="319"/>
      <c r="BKP47" s="319"/>
      <c r="BKQ47" s="319"/>
      <c r="BKR47" s="319"/>
      <c r="BKS47" s="319"/>
      <c r="BKT47" s="319"/>
      <c r="BKU47" s="319"/>
      <c r="BKV47" s="319"/>
      <c r="BKW47" s="319"/>
      <c r="BKX47" s="319"/>
      <c r="BKY47" s="319"/>
      <c r="BKZ47" s="319"/>
      <c r="BLA47" s="319"/>
      <c r="BLB47" s="319"/>
      <c r="BLC47" s="319"/>
      <c r="BLD47" s="319"/>
      <c r="BLE47" s="319"/>
      <c r="BLF47" s="319"/>
      <c r="BLG47" s="319"/>
      <c r="BLH47" s="319"/>
      <c r="BLI47" s="319"/>
      <c r="BLJ47" s="319"/>
      <c r="BLK47" s="319"/>
      <c r="BLL47" s="319"/>
      <c r="BLM47" s="319"/>
      <c r="BLN47" s="319"/>
      <c r="BLO47" s="319"/>
      <c r="BLP47" s="319"/>
      <c r="BLQ47" s="319"/>
      <c r="BLR47" s="319"/>
      <c r="BLS47" s="319"/>
      <c r="BLT47" s="319"/>
      <c r="BLU47" s="319"/>
      <c r="BLV47" s="319"/>
      <c r="BLW47" s="319"/>
      <c r="BLX47" s="319"/>
      <c r="BLY47" s="319"/>
      <c r="BLZ47" s="319"/>
      <c r="BMA47" s="319"/>
      <c r="BMB47" s="319"/>
      <c r="BMC47" s="319"/>
      <c r="BMD47" s="319"/>
      <c r="BME47" s="319"/>
      <c r="BMF47" s="319"/>
      <c r="BMG47" s="319"/>
      <c r="BMH47" s="319"/>
      <c r="BMI47" s="319"/>
      <c r="BMJ47" s="319"/>
      <c r="BMK47" s="319"/>
      <c r="BML47" s="319"/>
      <c r="BMM47" s="319"/>
      <c r="BMN47" s="319"/>
      <c r="BMO47" s="319"/>
      <c r="BMP47" s="319"/>
      <c r="BMQ47" s="319"/>
      <c r="BMR47" s="319"/>
      <c r="BMS47" s="319"/>
      <c r="BMT47" s="319"/>
      <c r="BMU47" s="319"/>
      <c r="BMV47" s="319"/>
      <c r="BMW47" s="319"/>
      <c r="BMX47" s="319"/>
      <c r="BMY47" s="319"/>
      <c r="BMZ47" s="319"/>
      <c r="BNA47" s="319"/>
      <c r="BNB47" s="319"/>
      <c r="BNC47" s="319"/>
      <c r="BND47" s="319"/>
      <c r="BNE47" s="319"/>
      <c r="BNF47" s="319"/>
      <c r="BNG47" s="319"/>
      <c r="BNH47" s="319"/>
      <c r="BNI47" s="319"/>
      <c r="BNJ47" s="319"/>
      <c r="BNK47" s="319"/>
      <c r="BNL47" s="319"/>
      <c r="BNM47" s="319"/>
      <c r="BNN47" s="319"/>
      <c r="BNO47" s="319"/>
      <c r="BNP47" s="319"/>
      <c r="BNQ47" s="319"/>
      <c r="BNR47" s="319"/>
      <c r="BNS47" s="319"/>
      <c r="BNT47" s="319"/>
      <c r="BNU47" s="319"/>
      <c r="BNV47" s="319"/>
      <c r="BNW47" s="319"/>
      <c r="BNX47" s="319"/>
      <c r="BNY47" s="319"/>
      <c r="BNZ47" s="319"/>
      <c r="BOA47" s="319"/>
      <c r="BOB47" s="319"/>
      <c r="BOC47" s="319"/>
      <c r="BOD47" s="319"/>
      <c r="BOE47" s="319"/>
      <c r="BOF47" s="319"/>
      <c r="BOG47" s="319"/>
      <c r="BOH47" s="319"/>
      <c r="BOI47" s="319"/>
      <c r="BOJ47" s="319"/>
      <c r="BOK47" s="319"/>
      <c r="BOL47" s="319"/>
      <c r="BOM47" s="319"/>
      <c r="BON47" s="319"/>
      <c r="BOO47" s="319"/>
      <c r="BOP47" s="319"/>
      <c r="BOQ47" s="319"/>
      <c r="BOR47" s="319"/>
      <c r="BOS47" s="319"/>
      <c r="BOT47" s="319"/>
      <c r="BOU47" s="319"/>
      <c r="BOV47" s="319"/>
      <c r="BOW47" s="319"/>
      <c r="BOX47" s="319"/>
      <c r="BOY47" s="319"/>
      <c r="BOZ47" s="319"/>
      <c r="BPA47" s="319"/>
      <c r="BPB47" s="319"/>
      <c r="BPC47" s="319"/>
      <c r="BPD47" s="319"/>
      <c r="BPE47" s="319"/>
      <c r="BPF47" s="319"/>
      <c r="BPG47" s="319"/>
      <c r="BPH47" s="319"/>
      <c r="BPI47" s="319"/>
      <c r="BPJ47" s="319"/>
      <c r="BPK47" s="319"/>
      <c r="BPL47" s="319"/>
      <c r="BPM47" s="319"/>
      <c r="BPN47" s="319"/>
      <c r="BPO47" s="319"/>
      <c r="BPP47" s="319"/>
      <c r="BPQ47" s="319"/>
      <c r="BPR47" s="319"/>
      <c r="BPS47" s="319"/>
      <c r="BPT47" s="319"/>
      <c r="BPU47" s="319"/>
      <c r="BPV47" s="319"/>
      <c r="BPW47" s="319"/>
      <c r="BPX47" s="319"/>
      <c r="BPY47" s="319"/>
      <c r="BPZ47" s="319"/>
      <c r="BQA47" s="319"/>
      <c r="BQB47" s="319"/>
      <c r="BQC47" s="319"/>
      <c r="BQD47" s="319"/>
      <c r="BQE47" s="319"/>
      <c r="BQF47" s="319"/>
      <c r="BQG47" s="319"/>
      <c r="BQH47" s="319"/>
      <c r="BQI47" s="319"/>
      <c r="BQJ47" s="319"/>
      <c r="BQK47" s="319"/>
      <c r="BQL47" s="319"/>
      <c r="BQM47" s="319"/>
      <c r="BQN47" s="319"/>
      <c r="BQO47" s="319"/>
      <c r="BQP47" s="319"/>
      <c r="BQQ47" s="319"/>
      <c r="BQR47" s="319"/>
      <c r="BQS47" s="319"/>
      <c r="BQT47" s="319"/>
      <c r="BQU47" s="319"/>
      <c r="BQV47" s="319"/>
      <c r="BQW47" s="319"/>
      <c r="BQX47" s="319"/>
      <c r="BQY47" s="319"/>
      <c r="BQZ47" s="319"/>
      <c r="BRA47" s="319"/>
      <c r="BRB47" s="319"/>
      <c r="BRC47" s="319"/>
      <c r="BRD47" s="319"/>
      <c r="BRE47" s="319"/>
      <c r="BRF47" s="319"/>
      <c r="BRG47" s="319"/>
      <c r="BRH47" s="319"/>
      <c r="BRI47" s="319"/>
      <c r="BRJ47" s="319"/>
      <c r="BRK47" s="319"/>
      <c r="BRL47" s="319"/>
      <c r="BRM47" s="319"/>
      <c r="BRN47" s="319"/>
      <c r="BRO47" s="319"/>
      <c r="BRP47" s="319"/>
      <c r="BRQ47" s="319"/>
      <c r="BRR47" s="319"/>
      <c r="BRS47" s="319"/>
      <c r="BRT47" s="319"/>
      <c r="BRU47" s="319"/>
      <c r="BRV47" s="319"/>
      <c r="BRW47" s="319"/>
      <c r="BRX47" s="319"/>
      <c r="BRY47" s="319"/>
      <c r="BRZ47" s="319"/>
      <c r="BSA47" s="319"/>
      <c r="BSB47" s="319"/>
      <c r="BSC47" s="319"/>
      <c r="BSD47" s="319"/>
      <c r="BSE47" s="319"/>
      <c r="BSF47" s="319"/>
      <c r="BSG47" s="319"/>
      <c r="BSH47" s="319"/>
      <c r="BSI47" s="319"/>
      <c r="BSJ47" s="319"/>
      <c r="BSK47" s="319"/>
      <c r="BSL47" s="319"/>
      <c r="BSM47" s="319"/>
      <c r="BSN47" s="319"/>
      <c r="BSO47" s="319"/>
      <c r="BSP47" s="319"/>
      <c r="BSQ47" s="319"/>
      <c r="BSR47" s="319"/>
      <c r="BSS47" s="319"/>
      <c r="BST47" s="319"/>
      <c r="BSU47" s="319"/>
      <c r="BSV47" s="319"/>
      <c r="BSW47" s="319"/>
      <c r="BSX47" s="319"/>
      <c r="BSY47" s="319"/>
      <c r="BSZ47" s="319"/>
      <c r="BTA47" s="319"/>
      <c r="BTB47" s="319"/>
      <c r="BTC47" s="319"/>
      <c r="BTD47" s="319"/>
      <c r="BTE47" s="319"/>
      <c r="BTF47" s="319"/>
      <c r="BTG47" s="319"/>
      <c r="BTH47" s="319"/>
      <c r="BTI47" s="319"/>
      <c r="BTJ47" s="319"/>
      <c r="BTK47" s="319"/>
      <c r="BTL47" s="319"/>
      <c r="BTM47" s="319"/>
      <c r="BTN47" s="319"/>
      <c r="BTO47" s="319"/>
      <c r="BTP47" s="319"/>
      <c r="BTQ47" s="319"/>
      <c r="BTR47" s="319"/>
      <c r="BTS47" s="319"/>
      <c r="BTT47" s="319"/>
      <c r="BTU47" s="319"/>
      <c r="BTV47" s="319"/>
      <c r="BTW47" s="319"/>
      <c r="BTX47" s="319"/>
      <c r="BTY47" s="319"/>
      <c r="BTZ47" s="319"/>
      <c r="BUA47" s="319"/>
      <c r="BUB47" s="319"/>
      <c r="BUC47" s="319"/>
      <c r="BUD47" s="319"/>
      <c r="BUE47" s="319"/>
      <c r="BUF47" s="319"/>
      <c r="BUG47" s="319"/>
      <c r="BUH47" s="319"/>
      <c r="BUI47" s="319"/>
      <c r="BUJ47" s="319"/>
      <c r="BUK47" s="319"/>
      <c r="BUL47" s="319"/>
      <c r="BUM47" s="319"/>
      <c r="BUN47" s="319"/>
      <c r="BUO47" s="319"/>
      <c r="BUP47" s="319"/>
      <c r="BUQ47" s="319"/>
      <c r="BUR47" s="319"/>
      <c r="BUS47" s="319"/>
      <c r="BUT47" s="319"/>
      <c r="BUU47" s="319"/>
      <c r="BUV47" s="319"/>
      <c r="BUW47" s="319"/>
      <c r="BUX47" s="319"/>
      <c r="BUY47" s="319"/>
      <c r="BUZ47" s="319"/>
      <c r="BVA47" s="319"/>
      <c r="BVB47" s="319"/>
      <c r="BVC47" s="319"/>
      <c r="BVD47" s="319"/>
      <c r="BVE47" s="319"/>
      <c r="BVF47" s="319"/>
      <c r="BVG47" s="319"/>
      <c r="BVH47" s="319"/>
      <c r="BVI47" s="319"/>
      <c r="BVJ47" s="319"/>
      <c r="BVK47" s="319"/>
      <c r="BVL47" s="319"/>
      <c r="BVM47" s="319"/>
      <c r="BVN47" s="319"/>
      <c r="BVO47" s="319"/>
      <c r="BVP47" s="319"/>
      <c r="BVQ47" s="319"/>
      <c r="BVR47" s="319"/>
      <c r="BVS47" s="319"/>
      <c r="BVT47" s="319"/>
      <c r="BVU47" s="319"/>
      <c r="BVV47" s="319"/>
      <c r="BVW47" s="319"/>
      <c r="BVX47" s="319"/>
      <c r="BVY47" s="319"/>
      <c r="BVZ47" s="319"/>
      <c r="BWA47" s="319"/>
      <c r="BWB47" s="319"/>
      <c r="BWC47" s="319"/>
      <c r="BWD47" s="319"/>
      <c r="BWE47" s="319"/>
      <c r="BWF47" s="319"/>
      <c r="BWG47" s="319"/>
      <c r="BWH47" s="319"/>
      <c r="BWI47" s="319"/>
      <c r="BWJ47" s="319"/>
      <c r="BWK47" s="319"/>
      <c r="BWL47" s="319"/>
      <c r="BWM47" s="319"/>
      <c r="BWN47" s="319"/>
      <c r="BWO47" s="319"/>
      <c r="BWP47" s="319"/>
      <c r="BWQ47" s="319"/>
      <c r="BWR47" s="319"/>
      <c r="BWS47" s="319"/>
      <c r="BWT47" s="319"/>
      <c r="BWU47" s="319"/>
      <c r="BWV47" s="319"/>
      <c r="BWW47" s="319"/>
      <c r="BWX47" s="319"/>
      <c r="BWY47" s="319"/>
      <c r="BWZ47" s="319"/>
      <c r="BXA47" s="319"/>
      <c r="BXB47" s="319"/>
      <c r="BXC47" s="319"/>
      <c r="BXD47" s="319"/>
      <c r="BXE47" s="319"/>
      <c r="BXF47" s="319"/>
      <c r="BXG47" s="319"/>
      <c r="BXH47" s="319"/>
      <c r="BXI47" s="319"/>
      <c r="BXJ47" s="319"/>
      <c r="BXK47" s="319"/>
      <c r="BXL47" s="319"/>
      <c r="BXM47" s="319"/>
      <c r="BXN47" s="319"/>
      <c r="BXO47" s="319"/>
      <c r="BXP47" s="319"/>
      <c r="BXQ47" s="319"/>
      <c r="BXR47" s="319"/>
      <c r="BXS47" s="319"/>
      <c r="BXT47" s="319"/>
      <c r="BXU47" s="319"/>
      <c r="BXV47" s="319"/>
      <c r="BXW47" s="319"/>
      <c r="BXX47" s="319"/>
      <c r="BXY47" s="319"/>
      <c r="BXZ47" s="319"/>
      <c r="BYA47" s="319"/>
      <c r="BYB47" s="319"/>
      <c r="BYC47" s="319"/>
      <c r="BYD47" s="319"/>
      <c r="BYE47" s="319"/>
      <c r="BYF47" s="319"/>
      <c r="BYG47" s="319"/>
      <c r="BYH47" s="319"/>
      <c r="BYI47" s="319"/>
      <c r="BYJ47" s="319"/>
      <c r="BYK47" s="319"/>
      <c r="BYL47" s="319"/>
      <c r="BYM47" s="319"/>
      <c r="BYN47" s="319"/>
      <c r="BYO47" s="319"/>
      <c r="BYP47" s="319"/>
      <c r="BYQ47" s="319"/>
      <c r="BYR47" s="319"/>
      <c r="BYS47" s="319"/>
      <c r="BYT47" s="319"/>
      <c r="BYU47" s="319"/>
      <c r="BYV47" s="319"/>
      <c r="BYW47" s="319"/>
      <c r="BYX47" s="319"/>
      <c r="BYY47" s="319"/>
      <c r="BYZ47" s="319"/>
      <c r="BZA47" s="319"/>
      <c r="BZB47" s="319"/>
      <c r="BZC47" s="319"/>
      <c r="BZD47" s="319"/>
      <c r="BZE47" s="319"/>
      <c r="BZF47" s="319"/>
      <c r="BZG47" s="319"/>
      <c r="BZH47" s="319"/>
      <c r="BZI47" s="319"/>
      <c r="BZJ47" s="319"/>
      <c r="BZK47" s="319"/>
      <c r="BZL47" s="319"/>
      <c r="BZM47" s="319"/>
      <c r="BZN47" s="319"/>
      <c r="BZO47" s="319"/>
      <c r="BZP47" s="319"/>
      <c r="BZQ47" s="319"/>
      <c r="BZR47" s="319"/>
      <c r="BZS47" s="319"/>
      <c r="BZT47" s="319"/>
      <c r="BZU47" s="319"/>
      <c r="BZV47" s="319"/>
      <c r="BZW47" s="319"/>
      <c r="BZX47" s="319"/>
      <c r="BZY47" s="319"/>
      <c r="BZZ47" s="319"/>
      <c r="CAA47" s="319"/>
      <c r="CAB47" s="319"/>
      <c r="CAC47" s="319"/>
      <c r="CAD47" s="319"/>
      <c r="CAE47" s="319"/>
      <c r="CAF47" s="319"/>
      <c r="CAG47" s="319"/>
      <c r="CAH47" s="319"/>
      <c r="CAI47" s="319"/>
      <c r="CAJ47" s="319"/>
      <c r="CAK47" s="319"/>
      <c r="CAL47" s="319"/>
      <c r="CAM47" s="319"/>
      <c r="CAN47" s="319"/>
      <c r="CAO47" s="319"/>
      <c r="CAP47" s="319"/>
      <c r="CAQ47" s="319"/>
      <c r="CAR47" s="319"/>
      <c r="CAS47" s="319"/>
      <c r="CAT47" s="319"/>
      <c r="CAU47" s="319"/>
      <c r="CAV47" s="319"/>
      <c r="CAW47" s="319"/>
      <c r="CAX47" s="319"/>
      <c r="CAY47" s="319"/>
      <c r="CAZ47" s="319"/>
      <c r="CBA47" s="319"/>
      <c r="CBB47" s="319"/>
      <c r="CBC47" s="319"/>
      <c r="CBD47" s="319"/>
      <c r="CBE47" s="319"/>
      <c r="CBF47" s="319"/>
      <c r="CBG47" s="319"/>
      <c r="CBH47" s="319"/>
      <c r="CBI47" s="319"/>
      <c r="CBJ47" s="319"/>
      <c r="CBK47" s="319"/>
      <c r="CBL47" s="319"/>
      <c r="CBM47" s="319"/>
      <c r="CBN47" s="319"/>
      <c r="CBO47" s="319"/>
      <c r="CBP47" s="319"/>
      <c r="CBQ47" s="319"/>
      <c r="CBR47" s="319"/>
      <c r="CBS47" s="319"/>
      <c r="CBT47" s="319"/>
      <c r="CBU47" s="319"/>
      <c r="CBV47" s="319"/>
      <c r="CBW47" s="319"/>
      <c r="CBX47" s="319"/>
      <c r="CBY47" s="319"/>
      <c r="CBZ47" s="319"/>
      <c r="CCA47" s="319"/>
      <c r="CCB47" s="319"/>
      <c r="CCC47" s="319"/>
      <c r="CCD47" s="319"/>
      <c r="CCE47" s="319"/>
      <c r="CCF47" s="319"/>
      <c r="CCG47" s="319"/>
      <c r="CCH47" s="319"/>
      <c r="CCI47" s="319"/>
      <c r="CCJ47" s="319"/>
      <c r="CCK47" s="319"/>
      <c r="CCL47" s="319"/>
      <c r="CCM47" s="319"/>
      <c r="CCN47" s="319"/>
      <c r="CCO47" s="319"/>
      <c r="CCP47" s="319"/>
      <c r="CCQ47" s="319"/>
      <c r="CCR47" s="319"/>
      <c r="CCS47" s="319"/>
      <c r="CCT47" s="319"/>
      <c r="CCU47" s="319"/>
      <c r="CCV47" s="319"/>
      <c r="CCW47" s="319"/>
      <c r="CCX47" s="319"/>
      <c r="CCY47" s="319"/>
      <c r="CCZ47" s="319"/>
      <c r="CDA47" s="319"/>
      <c r="CDB47" s="319"/>
      <c r="CDC47" s="319"/>
      <c r="CDD47" s="319"/>
      <c r="CDE47" s="319"/>
      <c r="CDF47" s="319"/>
      <c r="CDG47" s="319"/>
      <c r="CDH47" s="319"/>
      <c r="CDI47" s="319"/>
      <c r="CDJ47" s="319"/>
      <c r="CDK47" s="319"/>
      <c r="CDL47" s="319"/>
      <c r="CDM47" s="319"/>
      <c r="CDN47" s="319"/>
      <c r="CDO47" s="319"/>
      <c r="CDP47" s="319"/>
      <c r="CDQ47" s="319"/>
      <c r="CDR47" s="319"/>
      <c r="CDS47" s="319"/>
      <c r="CDT47" s="319"/>
      <c r="CDU47" s="319"/>
      <c r="CDV47" s="319"/>
      <c r="CDW47" s="319"/>
      <c r="CDX47" s="319"/>
      <c r="CDY47" s="319"/>
      <c r="CDZ47" s="319"/>
      <c r="CEA47" s="319"/>
      <c r="CEB47" s="319"/>
      <c r="CEC47" s="319"/>
      <c r="CED47" s="319"/>
      <c r="CEE47" s="319"/>
      <c r="CEF47" s="319"/>
      <c r="CEG47" s="319"/>
      <c r="CEH47" s="319"/>
      <c r="CEI47" s="319"/>
      <c r="CEJ47" s="319"/>
      <c r="CEK47" s="319"/>
      <c r="CEL47" s="319"/>
      <c r="CEM47" s="319"/>
      <c r="CEN47" s="319"/>
      <c r="CEO47" s="319"/>
      <c r="CEP47" s="319"/>
      <c r="CEQ47" s="319"/>
      <c r="CER47" s="319"/>
      <c r="CES47" s="319"/>
      <c r="CET47" s="319"/>
      <c r="CEU47" s="319"/>
      <c r="CEV47" s="319"/>
      <c r="CEW47" s="319"/>
      <c r="CEX47" s="319"/>
      <c r="CEY47" s="319"/>
      <c r="CEZ47" s="319"/>
      <c r="CFA47" s="319"/>
      <c r="CFB47" s="319"/>
      <c r="CFC47" s="319"/>
      <c r="CFD47" s="319"/>
      <c r="CFE47" s="319"/>
      <c r="CFF47" s="319"/>
      <c r="CFG47" s="319"/>
      <c r="CFH47" s="319"/>
      <c r="CFI47" s="319"/>
      <c r="CFJ47" s="319"/>
      <c r="CFK47" s="319"/>
      <c r="CFL47" s="319"/>
      <c r="CFM47" s="319"/>
      <c r="CFN47" s="319"/>
      <c r="CFO47" s="319"/>
      <c r="CFP47" s="319"/>
      <c r="CFQ47" s="319"/>
      <c r="CFR47" s="319"/>
      <c r="CFS47" s="319"/>
      <c r="CFT47" s="319"/>
      <c r="CFU47" s="319"/>
      <c r="CFV47" s="319"/>
      <c r="CFW47" s="319"/>
      <c r="CFX47" s="319"/>
      <c r="CFY47" s="319"/>
      <c r="CFZ47" s="319"/>
      <c r="CGA47" s="319"/>
      <c r="CGB47" s="319"/>
      <c r="CGC47" s="319"/>
      <c r="CGD47" s="319"/>
      <c r="CGE47" s="319"/>
      <c r="CGF47" s="319"/>
      <c r="CGG47" s="319"/>
      <c r="CGH47" s="319"/>
      <c r="CGI47" s="319"/>
      <c r="CGJ47" s="319"/>
      <c r="CGK47" s="319"/>
      <c r="CGL47" s="319"/>
      <c r="CGM47" s="319"/>
      <c r="CGN47" s="319"/>
      <c r="CGO47" s="319"/>
      <c r="CGP47" s="319"/>
      <c r="CGQ47" s="319"/>
      <c r="CGR47" s="319"/>
      <c r="CGS47" s="319"/>
      <c r="CGT47" s="319"/>
      <c r="CGU47" s="319"/>
      <c r="CGV47" s="319"/>
      <c r="CGW47" s="319"/>
      <c r="CGX47" s="319"/>
      <c r="CGY47" s="319"/>
      <c r="CGZ47" s="319"/>
      <c r="CHA47" s="319"/>
      <c r="CHB47" s="319"/>
      <c r="CHC47" s="319"/>
      <c r="CHD47" s="319"/>
      <c r="CHE47" s="319"/>
      <c r="CHF47" s="319"/>
      <c r="CHG47" s="319"/>
      <c r="CHH47" s="319"/>
      <c r="CHI47" s="319"/>
      <c r="CHJ47" s="319"/>
      <c r="CHK47" s="319"/>
      <c r="CHL47" s="319"/>
      <c r="CHM47" s="319"/>
      <c r="CHN47" s="319"/>
      <c r="CHO47" s="319"/>
      <c r="CHP47" s="319"/>
      <c r="CHQ47" s="319"/>
      <c r="CHR47" s="319"/>
      <c r="CHS47" s="319"/>
      <c r="CHT47" s="319"/>
      <c r="CHU47" s="319"/>
      <c r="CHV47" s="319"/>
      <c r="CHW47" s="319"/>
      <c r="CHX47" s="319"/>
      <c r="CHY47" s="319"/>
      <c r="CHZ47" s="319"/>
      <c r="CIA47" s="319"/>
      <c r="CIB47" s="319"/>
      <c r="CIC47" s="319"/>
      <c r="CID47" s="319"/>
      <c r="CIE47" s="319"/>
      <c r="CIF47" s="319"/>
      <c r="CIG47" s="319"/>
      <c r="CIH47" s="319"/>
      <c r="CII47" s="319"/>
      <c r="CIJ47" s="319"/>
      <c r="CIK47" s="319"/>
      <c r="CIL47" s="319"/>
      <c r="CIM47" s="319"/>
      <c r="CIN47" s="319"/>
      <c r="CIO47" s="319"/>
      <c r="CIP47" s="319"/>
      <c r="CIQ47" s="319"/>
      <c r="CIR47" s="319"/>
      <c r="CIS47" s="319"/>
      <c r="CIT47" s="319"/>
      <c r="CIU47" s="319"/>
      <c r="CIV47" s="319"/>
      <c r="CIW47" s="319"/>
      <c r="CIX47" s="319"/>
      <c r="CIY47" s="319"/>
      <c r="CIZ47" s="319"/>
      <c r="CJA47" s="319"/>
      <c r="CJB47" s="319"/>
      <c r="CJC47" s="319"/>
      <c r="CJD47" s="319"/>
      <c r="CJE47" s="319"/>
      <c r="CJF47" s="319"/>
      <c r="CJG47" s="319"/>
      <c r="CJH47" s="319"/>
      <c r="CJI47" s="319"/>
      <c r="CJJ47" s="319"/>
      <c r="CJK47" s="319"/>
      <c r="CJL47" s="319"/>
      <c r="CJM47" s="319"/>
      <c r="CJN47" s="319"/>
      <c r="CJO47" s="319"/>
      <c r="CJP47" s="319"/>
      <c r="CJQ47" s="319"/>
      <c r="CJR47" s="319"/>
      <c r="CJS47" s="319"/>
      <c r="CJT47" s="319"/>
      <c r="CJU47" s="319"/>
      <c r="CJV47" s="319"/>
      <c r="CJW47" s="319"/>
      <c r="CJX47" s="319"/>
      <c r="CJY47" s="319"/>
      <c r="CJZ47" s="319"/>
      <c r="CKA47" s="319"/>
      <c r="CKB47" s="319"/>
      <c r="CKC47" s="319"/>
      <c r="CKD47" s="319"/>
      <c r="CKE47" s="319"/>
      <c r="CKF47" s="319"/>
      <c r="CKG47" s="319"/>
      <c r="CKH47" s="319"/>
      <c r="CKI47" s="319"/>
      <c r="CKJ47" s="319"/>
      <c r="CKK47" s="319"/>
      <c r="CKL47" s="319"/>
      <c r="CKM47" s="319"/>
      <c r="CKN47" s="319"/>
      <c r="CKO47" s="319"/>
      <c r="CKP47" s="319"/>
      <c r="CKQ47" s="319"/>
      <c r="CKR47" s="319"/>
      <c r="CKS47" s="319"/>
      <c r="CKT47" s="319"/>
      <c r="CKU47" s="319"/>
      <c r="CKV47" s="319"/>
      <c r="CKW47" s="319"/>
      <c r="CKX47" s="319"/>
      <c r="CKY47" s="319"/>
      <c r="CKZ47" s="319"/>
      <c r="CLA47" s="319"/>
      <c r="CLB47" s="319"/>
      <c r="CLC47" s="319"/>
      <c r="CLD47" s="319"/>
      <c r="CLE47" s="319"/>
      <c r="CLF47" s="319"/>
      <c r="CLG47" s="319"/>
      <c r="CLH47" s="319"/>
      <c r="CLI47" s="319"/>
      <c r="CLJ47" s="319"/>
      <c r="CLK47" s="319"/>
      <c r="CLL47" s="319"/>
      <c r="CLM47" s="319"/>
      <c r="CLN47" s="319"/>
      <c r="CLO47" s="319"/>
      <c r="CLP47" s="319"/>
      <c r="CLQ47" s="319"/>
      <c r="CLR47" s="319"/>
      <c r="CLS47" s="319"/>
      <c r="CLT47" s="319"/>
      <c r="CLU47" s="319"/>
      <c r="CLV47" s="319"/>
      <c r="CLW47" s="319"/>
      <c r="CLX47" s="319"/>
      <c r="CLY47" s="319"/>
      <c r="CLZ47" s="319"/>
      <c r="CMA47" s="319"/>
      <c r="CMB47" s="319"/>
      <c r="CMC47" s="319"/>
      <c r="CMD47" s="319"/>
      <c r="CME47" s="319"/>
      <c r="CMF47" s="319"/>
      <c r="CMG47" s="319"/>
      <c r="CMH47" s="319"/>
      <c r="CMI47" s="319"/>
      <c r="CMJ47" s="319"/>
      <c r="CMK47" s="319"/>
      <c r="CML47" s="319"/>
      <c r="CMM47" s="319"/>
      <c r="CMN47" s="319"/>
      <c r="CMO47" s="319"/>
      <c r="CMP47" s="319"/>
      <c r="CMQ47" s="319"/>
      <c r="CMR47" s="319"/>
      <c r="CMS47" s="319"/>
      <c r="CMT47" s="319"/>
      <c r="CMU47" s="319"/>
      <c r="CMV47" s="319"/>
      <c r="CMW47" s="319"/>
      <c r="CMX47" s="319"/>
      <c r="CMY47" s="319"/>
      <c r="CMZ47" s="319"/>
      <c r="CNA47" s="319"/>
      <c r="CNB47" s="319"/>
      <c r="CNC47" s="319"/>
      <c r="CND47" s="319"/>
      <c r="CNE47" s="319"/>
      <c r="CNF47" s="319"/>
      <c r="CNG47" s="319"/>
      <c r="CNH47" s="319"/>
      <c r="CNI47" s="319"/>
      <c r="CNJ47" s="319"/>
      <c r="CNK47" s="319"/>
      <c r="CNL47" s="319"/>
      <c r="CNM47" s="319"/>
      <c r="CNN47" s="319"/>
      <c r="CNO47" s="319"/>
      <c r="CNP47" s="319"/>
      <c r="CNQ47" s="319"/>
      <c r="CNR47" s="319"/>
      <c r="CNS47" s="319"/>
      <c r="CNT47" s="319"/>
      <c r="CNU47" s="319"/>
      <c r="CNV47" s="319"/>
      <c r="CNW47" s="319"/>
      <c r="CNX47" s="319"/>
      <c r="CNY47" s="319"/>
      <c r="CNZ47" s="319"/>
      <c r="COA47" s="319"/>
      <c r="COB47" s="319"/>
      <c r="COC47" s="319"/>
      <c r="COD47" s="319"/>
      <c r="COE47" s="319"/>
      <c r="COF47" s="319"/>
      <c r="COG47" s="319"/>
      <c r="COH47" s="319"/>
      <c r="COI47" s="319"/>
      <c r="COJ47" s="319"/>
      <c r="COK47" s="319"/>
      <c r="COL47" s="319"/>
      <c r="COM47" s="319"/>
      <c r="CON47" s="319"/>
      <c r="COO47" s="319"/>
      <c r="COP47" s="319"/>
      <c r="COQ47" s="319"/>
      <c r="COR47" s="319"/>
      <c r="COS47" s="319"/>
      <c r="COT47" s="319"/>
      <c r="COU47" s="319"/>
      <c r="COV47" s="319"/>
      <c r="COW47" s="319"/>
      <c r="COX47" s="319"/>
      <c r="COY47" s="319"/>
      <c r="COZ47" s="319"/>
      <c r="CPA47" s="319"/>
      <c r="CPB47" s="319"/>
      <c r="CPC47" s="319"/>
      <c r="CPD47" s="319"/>
      <c r="CPE47" s="319"/>
      <c r="CPF47" s="319"/>
      <c r="CPG47" s="319"/>
      <c r="CPH47" s="319"/>
      <c r="CPI47" s="319"/>
      <c r="CPJ47" s="319"/>
      <c r="CPK47" s="319"/>
      <c r="CPL47" s="319"/>
      <c r="CPM47" s="319"/>
      <c r="CPN47" s="319"/>
      <c r="CPO47" s="319"/>
      <c r="CPP47" s="319"/>
      <c r="CPQ47" s="319"/>
      <c r="CPR47" s="319"/>
      <c r="CPS47" s="319"/>
      <c r="CPT47" s="319"/>
      <c r="CPU47" s="319"/>
      <c r="CPV47" s="319"/>
      <c r="CPW47" s="319"/>
      <c r="CPX47" s="319"/>
      <c r="CPY47" s="319"/>
      <c r="CPZ47" s="319"/>
      <c r="CQA47" s="319"/>
      <c r="CQB47" s="319"/>
      <c r="CQC47" s="319"/>
      <c r="CQD47" s="319"/>
      <c r="CQE47" s="319"/>
      <c r="CQF47" s="319"/>
      <c r="CQG47" s="319"/>
      <c r="CQH47" s="319"/>
      <c r="CQI47" s="319"/>
      <c r="CQJ47" s="319"/>
      <c r="CQK47" s="319"/>
      <c r="CQL47" s="319"/>
      <c r="CQM47" s="319"/>
      <c r="CQN47" s="319"/>
      <c r="CQO47" s="319"/>
      <c r="CQP47" s="319"/>
      <c r="CQQ47" s="319"/>
      <c r="CQR47" s="319"/>
      <c r="CQS47" s="319"/>
      <c r="CQT47" s="319"/>
      <c r="CQU47" s="319"/>
      <c r="CQV47" s="319"/>
      <c r="CQW47" s="319"/>
      <c r="CQX47" s="319"/>
      <c r="CQY47" s="319"/>
      <c r="CQZ47" s="319"/>
      <c r="CRA47" s="319"/>
      <c r="CRB47" s="319"/>
      <c r="CRC47" s="319"/>
      <c r="CRD47" s="319"/>
      <c r="CRE47" s="319"/>
      <c r="CRF47" s="319"/>
      <c r="CRG47" s="319"/>
      <c r="CRH47" s="319"/>
      <c r="CRI47" s="319"/>
      <c r="CRJ47" s="319"/>
      <c r="CRK47" s="319"/>
      <c r="CRL47" s="319"/>
      <c r="CRM47" s="319"/>
      <c r="CRN47" s="319"/>
      <c r="CRO47" s="319"/>
      <c r="CRP47" s="319"/>
      <c r="CRQ47" s="319"/>
      <c r="CRR47" s="319"/>
      <c r="CRS47" s="319"/>
      <c r="CRT47" s="319"/>
      <c r="CRU47" s="319"/>
      <c r="CRV47" s="319"/>
      <c r="CRW47" s="319"/>
      <c r="CRX47" s="319"/>
      <c r="CRY47" s="319"/>
      <c r="CRZ47" s="319"/>
      <c r="CSA47" s="319"/>
      <c r="CSB47" s="319"/>
      <c r="CSC47" s="319"/>
      <c r="CSD47" s="319"/>
      <c r="CSE47" s="319"/>
      <c r="CSF47" s="319"/>
      <c r="CSG47" s="319"/>
      <c r="CSH47" s="319"/>
      <c r="CSI47" s="319"/>
      <c r="CSJ47" s="319"/>
      <c r="CSK47" s="319"/>
      <c r="CSL47" s="319"/>
      <c r="CSM47" s="319"/>
      <c r="CSN47" s="319"/>
      <c r="CSO47" s="319"/>
      <c r="CSP47" s="319"/>
      <c r="CSQ47" s="319"/>
      <c r="CSR47" s="319"/>
      <c r="CSS47" s="319"/>
      <c r="CST47" s="319"/>
      <c r="CSU47" s="319"/>
      <c r="CSV47" s="319"/>
      <c r="CSW47" s="319"/>
      <c r="CSX47" s="319"/>
      <c r="CSY47" s="319"/>
      <c r="CSZ47" s="319"/>
      <c r="CTA47" s="319"/>
      <c r="CTB47" s="319"/>
      <c r="CTC47" s="319"/>
      <c r="CTD47" s="319"/>
      <c r="CTE47" s="319"/>
      <c r="CTF47" s="319"/>
      <c r="CTG47" s="319"/>
      <c r="CTH47" s="319"/>
      <c r="CTI47" s="319"/>
      <c r="CTJ47" s="319"/>
      <c r="CTK47" s="319"/>
      <c r="CTL47" s="319"/>
      <c r="CTM47" s="319"/>
      <c r="CTN47" s="319"/>
      <c r="CTO47" s="319"/>
      <c r="CTP47" s="319"/>
      <c r="CTQ47" s="319"/>
      <c r="CTR47" s="319"/>
      <c r="CTS47" s="319"/>
      <c r="CTT47" s="319"/>
      <c r="CTU47" s="319"/>
      <c r="CTV47" s="319"/>
      <c r="CTW47" s="319"/>
      <c r="CTX47" s="319"/>
      <c r="CTY47" s="319"/>
      <c r="CTZ47" s="319"/>
      <c r="CUA47" s="319"/>
      <c r="CUB47" s="319"/>
      <c r="CUC47" s="319"/>
      <c r="CUD47" s="319"/>
      <c r="CUE47" s="319"/>
      <c r="CUF47" s="319"/>
      <c r="CUG47" s="319"/>
      <c r="CUH47" s="319"/>
      <c r="CUI47" s="319"/>
      <c r="CUJ47" s="319"/>
      <c r="CUK47" s="319"/>
      <c r="CUL47" s="319"/>
      <c r="CUM47" s="319"/>
      <c r="CUN47" s="319"/>
      <c r="CUO47" s="319"/>
      <c r="CUP47" s="319"/>
      <c r="CUQ47" s="319"/>
      <c r="CUR47" s="319"/>
      <c r="CUS47" s="319"/>
      <c r="CUT47" s="319"/>
      <c r="CUU47" s="319"/>
      <c r="CUV47" s="319"/>
      <c r="CUW47" s="319"/>
      <c r="CUX47" s="319"/>
      <c r="CUY47" s="319"/>
      <c r="CUZ47" s="319"/>
      <c r="CVA47" s="319"/>
      <c r="CVB47" s="319"/>
      <c r="CVC47" s="319"/>
      <c r="CVD47" s="319"/>
      <c r="CVE47" s="319"/>
      <c r="CVF47" s="319"/>
      <c r="CVG47" s="319"/>
      <c r="CVH47" s="319"/>
      <c r="CVI47" s="319"/>
      <c r="CVJ47" s="319"/>
      <c r="CVK47" s="319"/>
      <c r="CVL47" s="319"/>
      <c r="CVM47" s="319"/>
      <c r="CVN47" s="319"/>
      <c r="CVO47" s="319"/>
      <c r="CVP47" s="319"/>
      <c r="CVQ47" s="319"/>
      <c r="CVR47" s="319"/>
      <c r="CVS47" s="319"/>
      <c r="CVT47" s="319"/>
      <c r="CVU47" s="319"/>
      <c r="CVV47" s="319"/>
      <c r="CVW47" s="319"/>
      <c r="CVX47" s="319"/>
      <c r="CVY47" s="319"/>
      <c r="CVZ47" s="319"/>
      <c r="CWA47" s="319"/>
      <c r="CWB47" s="319"/>
      <c r="CWC47" s="319"/>
      <c r="CWD47" s="319"/>
      <c r="CWE47" s="319"/>
      <c r="CWF47" s="319"/>
      <c r="CWG47" s="319"/>
      <c r="CWH47" s="319"/>
      <c r="CWI47" s="319"/>
      <c r="CWJ47" s="319"/>
      <c r="CWK47" s="319"/>
      <c r="CWL47" s="319"/>
      <c r="CWM47" s="319"/>
      <c r="CWN47" s="319"/>
      <c r="CWO47" s="319"/>
      <c r="CWP47" s="319"/>
      <c r="CWQ47" s="319"/>
      <c r="CWR47" s="319"/>
      <c r="CWS47" s="319"/>
      <c r="CWT47" s="319"/>
      <c r="CWU47" s="319"/>
      <c r="CWV47" s="319"/>
      <c r="CWW47" s="319"/>
      <c r="CWX47" s="319"/>
      <c r="CWY47" s="319"/>
      <c r="CWZ47" s="319"/>
      <c r="CXA47" s="319"/>
      <c r="CXB47" s="319"/>
      <c r="CXC47" s="319"/>
      <c r="CXD47" s="319"/>
      <c r="CXE47" s="319"/>
      <c r="CXF47" s="319"/>
      <c r="CXG47" s="319"/>
      <c r="CXH47" s="319"/>
      <c r="CXI47" s="319"/>
      <c r="CXJ47" s="319"/>
      <c r="CXK47" s="319"/>
      <c r="CXL47" s="319"/>
      <c r="CXM47" s="319"/>
      <c r="CXN47" s="319"/>
      <c r="CXO47" s="319"/>
      <c r="CXP47" s="319"/>
      <c r="CXQ47" s="319"/>
      <c r="CXR47" s="319"/>
      <c r="CXS47" s="319"/>
      <c r="CXT47" s="319"/>
      <c r="CXU47" s="319"/>
      <c r="CXV47" s="319"/>
      <c r="CXW47" s="319"/>
      <c r="CXX47" s="319"/>
      <c r="CXY47" s="319"/>
      <c r="CXZ47" s="319"/>
      <c r="CYA47" s="319"/>
      <c r="CYB47" s="319"/>
      <c r="CYC47" s="319"/>
      <c r="CYD47" s="319"/>
      <c r="CYE47" s="319"/>
      <c r="CYF47" s="319"/>
      <c r="CYG47" s="319"/>
      <c r="CYH47" s="319"/>
      <c r="CYI47" s="319"/>
      <c r="CYJ47" s="319"/>
      <c r="CYK47" s="319"/>
      <c r="CYL47" s="319"/>
      <c r="CYM47" s="319"/>
      <c r="CYN47" s="319"/>
      <c r="CYO47" s="319"/>
      <c r="CYP47" s="319"/>
      <c r="CYQ47" s="319"/>
      <c r="CYR47" s="319"/>
      <c r="CYS47" s="319"/>
      <c r="CYT47" s="319"/>
      <c r="CYU47" s="319"/>
      <c r="CYV47" s="319"/>
      <c r="CYW47" s="319"/>
      <c r="CYX47" s="319"/>
      <c r="CYY47" s="319"/>
      <c r="CYZ47" s="319"/>
      <c r="CZA47" s="319"/>
      <c r="CZB47" s="319"/>
      <c r="CZC47" s="319"/>
      <c r="CZD47" s="319"/>
      <c r="CZE47" s="319"/>
      <c r="CZF47" s="319"/>
      <c r="CZG47" s="319"/>
      <c r="CZH47" s="319"/>
      <c r="CZI47" s="319"/>
      <c r="CZJ47" s="319"/>
      <c r="CZK47" s="319"/>
      <c r="CZL47" s="319"/>
      <c r="CZM47" s="319"/>
      <c r="CZN47" s="319"/>
      <c r="CZO47" s="319"/>
      <c r="CZP47" s="319"/>
      <c r="CZQ47" s="319"/>
      <c r="CZR47" s="319"/>
      <c r="CZS47" s="319"/>
      <c r="CZT47" s="319"/>
      <c r="CZU47" s="319"/>
      <c r="CZV47" s="319"/>
      <c r="CZW47" s="319"/>
      <c r="CZX47" s="319"/>
      <c r="CZY47" s="319"/>
      <c r="CZZ47" s="319"/>
      <c r="DAA47" s="319"/>
      <c r="DAB47" s="319"/>
      <c r="DAC47" s="319"/>
      <c r="DAD47" s="319"/>
      <c r="DAE47" s="319"/>
      <c r="DAF47" s="319"/>
      <c r="DAG47" s="319"/>
      <c r="DAH47" s="319"/>
      <c r="DAI47" s="319"/>
      <c r="DAJ47" s="319"/>
      <c r="DAK47" s="319"/>
      <c r="DAL47" s="319"/>
      <c r="DAM47" s="319"/>
      <c r="DAN47" s="319"/>
      <c r="DAO47" s="319"/>
      <c r="DAP47" s="319"/>
      <c r="DAQ47" s="319"/>
      <c r="DAR47" s="319"/>
      <c r="DAS47" s="319"/>
      <c r="DAT47" s="319"/>
      <c r="DAU47" s="319"/>
      <c r="DAV47" s="319"/>
      <c r="DAW47" s="319"/>
      <c r="DAX47" s="319"/>
      <c r="DAY47" s="319"/>
      <c r="DAZ47" s="319"/>
      <c r="DBA47" s="319"/>
      <c r="DBB47" s="319"/>
      <c r="DBC47" s="319"/>
      <c r="DBD47" s="319"/>
      <c r="DBE47" s="319"/>
      <c r="DBF47" s="319"/>
      <c r="DBG47" s="319"/>
      <c r="DBH47" s="319"/>
      <c r="DBI47" s="319"/>
      <c r="DBJ47" s="319"/>
      <c r="DBK47" s="319"/>
      <c r="DBL47" s="319"/>
      <c r="DBM47" s="319"/>
      <c r="DBN47" s="319"/>
      <c r="DBO47" s="319"/>
      <c r="DBP47" s="319"/>
      <c r="DBQ47" s="319"/>
      <c r="DBR47" s="319"/>
      <c r="DBS47" s="319"/>
      <c r="DBT47" s="319"/>
      <c r="DBU47" s="319"/>
      <c r="DBV47" s="319"/>
      <c r="DBW47" s="319"/>
      <c r="DBX47" s="319"/>
      <c r="DBY47" s="319"/>
      <c r="DBZ47" s="319"/>
      <c r="DCA47" s="319"/>
      <c r="DCB47" s="319"/>
      <c r="DCC47" s="319"/>
      <c r="DCD47" s="319"/>
      <c r="DCE47" s="319"/>
      <c r="DCF47" s="319"/>
      <c r="DCG47" s="319"/>
      <c r="DCH47" s="319"/>
      <c r="DCI47" s="319"/>
      <c r="DCJ47" s="319"/>
      <c r="DCK47" s="319"/>
      <c r="DCL47" s="319"/>
      <c r="DCM47" s="319"/>
      <c r="DCN47" s="319"/>
      <c r="DCO47" s="319"/>
      <c r="DCP47" s="319"/>
      <c r="DCQ47" s="319"/>
      <c r="DCR47" s="319"/>
      <c r="DCS47" s="319"/>
      <c r="DCT47" s="319"/>
      <c r="DCU47" s="319"/>
      <c r="DCV47" s="319"/>
      <c r="DCW47" s="319"/>
      <c r="DCX47" s="319"/>
      <c r="DCY47" s="319"/>
      <c r="DCZ47" s="319"/>
      <c r="DDA47" s="319"/>
      <c r="DDB47" s="319"/>
      <c r="DDC47" s="319"/>
      <c r="DDD47" s="319"/>
      <c r="DDE47" s="319"/>
      <c r="DDF47" s="319"/>
      <c r="DDG47" s="319"/>
      <c r="DDH47" s="319"/>
      <c r="DDI47" s="319"/>
      <c r="DDJ47" s="319"/>
      <c r="DDK47" s="319"/>
      <c r="DDL47" s="319"/>
      <c r="DDM47" s="319"/>
      <c r="DDN47" s="319"/>
      <c r="DDO47" s="319"/>
      <c r="DDP47" s="319"/>
      <c r="DDQ47" s="319"/>
      <c r="DDR47" s="319"/>
      <c r="DDS47" s="319"/>
      <c r="DDT47" s="319"/>
      <c r="DDU47" s="319"/>
      <c r="DDV47" s="319"/>
      <c r="DDW47" s="319"/>
      <c r="DDX47" s="319"/>
      <c r="DDY47" s="319"/>
      <c r="DDZ47" s="319"/>
      <c r="DEA47" s="319"/>
      <c r="DEB47" s="319"/>
      <c r="DEC47" s="319"/>
      <c r="DED47" s="319"/>
      <c r="DEE47" s="319"/>
      <c r="DEF47" s="319"/>
      <c r="DEG47" s="319"/>
      <c r="DEH47" s="319"/>
      <c r="DEI47" s="319"/>
      <c r="DEJ47" s="319"/>
      <c r="DEK47" s="319"/>
      <c r="DEL47" s="319"/>
      <c r="DEM47" s="319"/>
      <c r="DEN47" s="319"/>
      <c r="DEO47" s="319"/>
      <c r="DEP47" s="319"/>
      <c r="DEQ47" s="319"/>
      <c r="DER47" s="319"/>
      <c r="DES47" s="319"/>
      <c r="DET47" s="319"/>
      <c r="DEU47" s="319"/>
      <c r="DEV47" s="319"/>
      <c r="DEW47" s="319"/>
      <c r="DEX47" s="319"/>
      <c r="DEY47" s="319"/>
      <c r="DEZ47" s="319"/>
      <c r="DFA47" s="319"/>
      <c r="DFB47" s="319"/>
      <c r="DFC47" s="319"/>
      <c r="DFD47" s="319"/>
      <c r="DFE47" s="319"/>
      <c r="DFF47" s="319"/>
      <c r="DFG47" s="319"/>
      <c r="DFH47" s="319"/>
      <c r="DFI47" s="319"/>
      <c r="DFJ47" s="319"/>
      <c r="DFK47" s="319"/>
      <c r="DFL47" s="319"/>
      <c r="DFM47" s="319"/>
      <c r="DFN47" s="319"/>
      <c r="DFO47" s="319"/>
      <c r="DFP47" s="319"/>
      <c r="DFQ47" s="319"/>
      <c r="DFR47" s="319"/>
      <c r="DFS47" s="319"/>
      <c r="DFT47" s="319"/>
      <c r="DFU47" s="319"/>
      <c r="DFV47" s="319"/>
      <c r="DFW47" s="319"/>
      <c r="DFX47" s="319"/>
      <c r="DFY47" s="319"/>
      <c r="DFZ47" s="319"/>
      <c r="DGA47" s="319"/>
      <c r="DGB47" s="319"/>
      <c r="DGC47" s="319"/>
      <c r="DGD47" s="319"/>
      <c r="DGE47" s="319"/>
      <c r="DGF47" s="319"/>
      <c r="DGG47" s="319"/>
      <c r="DGH47" s="319"/>
      <c r="DGI47" s="319"/>
      <c r="DGJ47" s="319"/>
      <c r="DGK47" s="319"/>
      <c r="DGL47" s="319"/>
      <c r="DGM47" s="319"/>
      <c r="DGN47" s="319"/>
      <c r="DGO47" s="319"/>
      <c r="DGP47" s="319"/>
      <c r="DGQ47" s="319"/>
      <c r="DGR47" s="319"/>
      <c r="DGS47" s="319"/>
      <c r="DGT47" s="319"/>
      <c r="DGU47" s="319"/>
      <c r="DGV47" s="319"/>
      <c r="DGW47" s="319"/>
      <c r="DGX47" s="319"/>
      <c r="DGY47" s="319"/>
      <c r="DGZ47" s="319"/>
      <c r="DHA47" s="319"/>
      <c r="DHB47" s="319"/>
      <c r="DHC47" s="319"/>
      <c r="DHD47" s="319"/>
      <c r="DHE47" s="319"/>
      <c r="DHF47" s="319"/>
      <c r="DHG47" s="319"/>
      <c r="DHH47" s="319"/>
      <c r="DHI47" s="319"/>
      <c r="DHJ47" s="319"/>
      <c r="DHK47" s="319"/>
      <c r="DHL47" s="319"/>
      <c r="DHM47" s="319"/>
      <c r="DHN47" s="319"/>
      <c r="DHO47" s="319"/>
      <c r="DHP47" s="319"/>
      <c r="DHQ47" s="319"/>
      <c r="DHR47" s="319"/>
      <c r="DHS47" s="319"/>
      <c r="DHT47" s="319"/>
      <c r="DHU47" s="319"/>
      <c r="DHV47" s="319"/>
      <c r="DHW47" s="319"/>
      <c r="DHX47" s="319"/>
      <c r="DHY47" s="319"/>
      <c r="DHZ47" s="319"/>
      <c r="DIA47" s="319"/>
      <c r="DIB47" s="319"/>
      <c r="DIC47" s="319"/>
      <c r="DID47" s="319"/>
      <c r="DIE47" s="319"/>
      <c r="DIF47" s="319"/>
      <c r="DIG47" s="319"/>
      <c r="DIH47" s="319"/>
      <c r="DII47" s="319"/>
      <c r="DIJ47" s="319"/>
      <c r="DIK47" s="319"/>
      <c r="DIL47" s="319"/>
      <c r="DIM47" s="319"/>
      <c r="DIN47" s="319"/>
      <c r="DIO47" s="319"/>
      <c r="DIP47" s="319"/>
      <c r="DIQ47" s="319"/>
      <c r="DIR47" s="319"/>
      <c r="DIS47" s="319"/>
      <c r="DIT47" s="319"/>
      <c r="DIU47" s="319"/>
      <c r="DIV47" s="319"/>
      <c r="DIW47" s="319"/>
      <c r="DIX47" s="319"/>
      <c r="DIY47" s="319"/>
      <c r="DIZ47" s="319"/>
      <c r="DJA47" s="319"/>
      <c r="DJB47" s="319"/>
      <c r="DJC47" s="319"/>
      <c r="DJD47" s="319"/>
      <c r="DJE47" s="319"/>
      <c r="DJF47" s="319"/>
      <c r="DJG47" s="319"/>
      <c r="DJH47" s="319"/>
      <c r="DJI47" s="319"/>
      <c r="DJJ47" s="319"/>
      <c r="DJK47" s="319"/>
      <c r="DJL47" s="319"/>
      <c r="DJM47" s="319"/>
      <c r="DJN47" s="319"/>
      <c r="DJO47" s="319"/>
      <c r="DJP47" s="319"/>
      <c r="DJQ47" s="319"/>
      <c r="DJR47" s="319"/>
      <c r="DJS47" s="319"/>
      <c r="DJT47" s="319"/>
      <c r="DJU47" s="319"/>
      <c r="DJV47" s="319"/>
      <c r="DJW47" s="319"/>
      <c r="DJX47" s="319"/>
      <c r="DJY47" s="319"/>
      <c r="DJZ47" s="319"/>
      <c r="DKA47" s="319"/>
      <c r="DKB47" s="319"/>
      <c r="DKC47" s="319"/>
      <c r="DKD47" s="319"/>
      <c r="DKE47" s="319"/>
      <c r="DKF47" s="319"/>
      <c r="DKG47" s="319"/>
      <c r="DKH47" s="319"/>
      <c r="DKI47" s="319"/>
      <c r="DKJ47" s="319"/>
      <c r="DKK47" s="319"/>
      <c r="DKL47" s="319"/>
      <c r="DKM47" s="319"/>
      <c r="DKN47" s="319"/>
      <c r="DKO47" s="319"/>
      <c r="DKP47" s="319"/>
      <c r="DKQ47" s="319"/>
      <c r="DKR47" s="319"/>
      <c r="DKS47" s="319"/>
      <c r="DKT47" s="319"/>
      <c r="DKU47" s="319"/>
      <c r="DKV47" s="319"/>
      <c r="DKW47" s="319"/>
      <c r="DKX47" s="319"/>
      <c r="DKY47" s="319"/>
      <c r="DKZ47" s="319"/>
      <c r="DLA47" s="319"/>
      <c r="DLB47" s="319"/>
      <c r="DLC47" s="319"/>
      <c r="DLD47" s="319"/>
      <c r="DLE47" s="319"/>
      <c r="DLF47" s="319"/>
      <c r="DLG47" s="319"/>
      <c r="DLH47" s="319"/>
      <c r="DLI47" s="319"/>
      <c r="DLJ47" s="319"/>
      <c r="DLK47" s="319"/>
      <c r="DLL47" s="319"/>
      <c r="DLM47" s="319"/>
      <c r="DLN47" s="319"/>
      <c r="DLO47" s="319"/>
      <c r="DLP47" s="319"/>
      <c r="DLQ47" s="319"/>
      <c r="DLR47" s="319"/>
      <c r="DLS47" s="319"/>
      <c r="DLT47" s="319"/>
      <c r="DLU47" s="319"/>
      <c r="DLV47" s="319"/>
      <c r="DLW47" s="319"/>
      <c r="DLX47" s="319"/>
      <c r="DLY47" s="319"/>
      <c r="DLZ47" s="319"/>
      <c r="DMA47" s="319"/>
      <c r="DMB47" s="319"/>
      <c r="DMC47" s="319"/>
      <c r="DMD47" s="319"/>
      <c r="DME47" s="319"/>
      <c r="DMF47" s="319"/>
      <c r="DMG47" s="319"/>
      <c r="DMH47" s="319"/>
      <c r="DMI47" s="319"/>
      <c r="DMJ47" s="319"/>
      <c r="DMK47" s="319"/>
      <c r="DML47" s="319"/>
      <c r="DMM47" s="319"/>
      <c r="DMN47" s="319"/>
      <c r="DMO47" s="319"/>
      <c r="DMP47" s="319"/>
      <c r="DMQ47" s="319"/>
      <c r="DMR47" s="319"/>
      <c r="DMS47" s="319"/>
      <c r="DMT47" s="319"/>
      <c r="DMU47" s="319"/>
      <c r="DMV47" s="319"/>
      <c r="DMW47" s="319"/>
      <c r="DMX47" s="319"/>
      <c r="DMY47" s="319"/>
      <c r="DMZ47" s="319"/>
      <c r="DNA47" s="319"/>
      <c r="DNB47" s="319"/>
      <c r="DNC47" s="319"/>
      <c r="DND47" s="319"/>
      <c r="DNE47" s="319"/>
      <c r="DNF47" s="319"/>
      <c r="DNG47" s="319"/>
      <c r="DNH47" s="319"/>
      <c r="DNI47" s="319"/>
      <c r="DNJ47" s="319"/>
      <c r="DNK47" s="319"/>
      <c r="DNL47" s="319"/>
      <c r="DNM47" s="319"/>
      <c r="DNN47" s="319"/>
      <c r="DNO47" s="319"/>
      <c r="DNP47" s="319"/>
      <c r="DNQ47" s="319"/>
      <c r="DNR47" s="319"/>
      <c r="DNS47" s="319"/>
      <c r="DNT47" s="319"/>
      <c r="DNU47" s="319"/>
      <c r="DNV47" s="319"/>
      <c r="DNW47" s="319"/>
      <c r="DNX47" s="319"/>
      <c r="DNY47" s="319"/>
      <c r="DNZ47" s="319"/>
      <c r="DOA47" s="319"/>
      <c r="DOB47" s="319"/>
      <c r="DOC47" s="319"/>
      <c r="DOD47" s="319"/>
      <c r="DOE47" s="319"/>
      <c r="DOF47" s="319"/>
      <c r="DOG47" s="319"/>
      <c r="DOH47" s="319"/>
      <c r="DOI47" s="319"/>
      <c r="DOJ47" s="319"/>
      <c r="DOK47" s="319"/>
      <c r="DOL47" s="319"/>
      <c r="DOM47" s="319"/>
      <c r="DON47" s="319"/>
      <c r="DOO47" s="319"/>
      <c r="DOP47" s="319"/>
      <c r="DOQ47" s="319"/>
      <c r="DOR47" s="319"/>
      <c r="DOS47" s="319"/>
      <c r="DOT47" s="319"/>
      <c r="DOU47" s="319"/>
      <c r="DOV47" s="319"/>
      <c r="DOW47" s="319"/>
      <c r="DOX47" s="319"/>
      <c r="DOY47" s="319"/>
      <c r="DOZ47" s="319"/>
      <c r="DPA47" s="319"/>
      <c r="DPB47" s="319"/>
      <c r="DPC47" s="319"/>
      <c r="DPD47" s="319"/>
      <c r="DPE47" s="319"/>
      <c r="DPF47" s="319"/>
      <c r="DPG47" s="319"/>
      <c r="DPH47" s="319"/>
      <c r="DPI47" s="319"/>
      <c r="DPJ47" s="319"/>
      <c r="DPK47" s="319"/>
      <c r="DPL47" s="319"/>
      <c r="DPM47" s="319"/>
      <c r="DPN47" s="319"/>
      <c r="DPO47" s="319"/>
      <c r="DPP47" s="319"/>
      <c r="DPQ47" s="319"/>
      <c r="DPR47" s="319"/>
      <c r="DPS47" s="319"/>
      <c r="DPT47" s="319"/>
      <c r="DPU47" s="319"/>
      <c r="DPV47" s="319"/>
      <c r="DPW47" s="319"/>
      <c r="DPX47" s="319"/>
      <c r="DPY47" s="319"/>
      <c r="DPZ47" s="319"/>
      <c r="DQA47" s="319"/>
      <c r="DQB47" s="319"/>
      <c r="DQC47" s="319"/>
      <c r="DQD47" s="319"/>
      <c r="DQE47" s="319"/>
      <c r="DQF47" s="319"/>
      <c r="DQG47" s="319"/>
      <c r="DQH47" s="319"/>
      <c r="DQI47" s="319"/>
      <c r="DQJ47" s="319"/>
      <c r="DQK47" s="319"/>
      <c r="DQL47" s="319"/>
      <c r="DQM47" s="319"/>
      <c r="DQN47" s="319"/>
      <c r="DQO47" s="319"/>
      <c r="DQP47" s="319"/>
      <c r="DQQ47" s="319"/>
      <c r="DQR47" s="319"/>
      <c r="DQS47" s="319"/>
      <c r="DQT47" s="319"/>
      <c r="DQU47" s="319"/>
      <c r="DQV47" s="319"/>
      <c r="DQW47" s="319"/>
      <c r="DQX47" s="319"/>
      <c r="DQY47" s="319"/>
      <c r="DQZ47" s="319"/>
      <c r="DRA47" s="319"/>
      <c r="DRB47" s="319"/>
      <c r="DRC47" s="319"/>
      <c r="DRD47" s="319"/>
      <c r="DRE47" s="319"/>
      <c r="DRF47" s="319"/>
      <c r="DRG47" s="319"/>
      <c r="DRH47" s="319"/>
      <c r="DRI47" s="319"/>
      <c r="DRJ47" s="319"/>
      <c r="DRK47" s="319"/>
      <c r="DRL47" s="319"/>
      <c r="DRM47" s="319"/>
      <c r="DRN47" s="319"/>
      <c r="DRO47" s="319"/>
      <c r="DRP47" s="319"/>
      <c r="DRQ47" s="319"/>
      <c r="DRR47" s="319"/>
      <c r="DRS47" s="319"/>
      <c r="DRT47" s="319"/>
      <c r="DRU47" s="319"/>
      <c r="DRV47" s="319"/>
      <c r="DRW47" s="319"/>
      <c r="DRX47" s="319"/>
      <c r="DRY47" s="319"/>
      <c r="DRZ47" s="319"/>
      <c r="DSA47" s="319"/>
      <c r="DSB47" s="319"/>
      <c r="DSC47" s="319"/>
      <c r="DSD47" s="319"/>
      <c r="DSE47" s="319"/>
      <c r="DSF47" s="319"/>
      <c r="DSG47" s="319"/>
      <c r="DSH47" s="319"/>
      <c r="DSI47" s="319"/>
      <c r="DSJ47" s="319"/>
      <c r="DSK47" s="319"/>
      <c r="DSL47" s="319"/>
      <c r="DSM47" s="319"/>
      <c r="DSN47" s="319"/>
      <c r="DSO47" s="319"/>
      <c r="DSP47" s="319"/>
      <c r="DSQ47" s="319"/>
      <c r="DSR47" s="319"/>
      <c r="DSS47" s="319"/>
      <c r="DST47" s="319"/>
      <c r="DSU47" s="319"/>
      <c r="DSV47" s="319"/>
      <c r="DSW47" s="319"/>
      <c r="DSX47" s="319"/>
      <c r="DSY47" s="319"/>
      <c r="DSZ47" s="319"/>
      <c r="DTA47" s="319"/>
      <c r="DTB47" s="319"/>
      <c r="DTC47" s="319"/>
      <c r="DTD47" s="319"/>
      <c r="DTE47" s="319"/>
      <c r="DTF47" s="319"/>
      <c r="DTG47" s="319"/>
      <c r="DTH47" s="319"/>
      <c r="DTI47" s="319"/>
      <c r="DTJ47" s="319"/>
      <c r="DTK47" s="319"/>
      <c r="DTL47" s="319"/>
      <c r="DTM47" s="319"/>
      <c r="DTN47" s="319"/>
      <c r="DTO47" s="319"/>
      <c r="DTP47" s="319"/>
      <c r="DTQ47" s="319"/>
      <c r="DTR47" s="319"/>
      <c r="DTS47" s="319"/>
      <c r="DTT47" s="319"/>
      <c r="DTU47" s="319"/>
      <c r="DTV47" s="319"/>
      <c r="DTW47" s="319"/>
      <c r="DTX47" s="319"/>
      <c r="DTY47" s="319"/>
      <c r="DTZ47" s="319"/>
      <c r="DUA47" s="319"/>
      <c r="DUB47" s="319"/>
      <c r="DUC47" s="319"/>
      <c r="DUD47" s="319"/>
      <c r="DUE47" s="319"/>
      <c r="DUF47" s="319"/>
      <c r="DUG47" s="319"/>
      <c r="DUH47" s="319"/>
      <c r="DUI47" s="319"/>
      <c r="DUJ47" s="319"/>
      <c r="DUK47" s="319"/>
      <c r="DUL47" s="319"/>
      <c r="DUM47" s="319"/>
      <c r="DUN47" s="319"/>
      <c r="DUO47" s="319"/>
      <c r="DUP47" s="319"/>
      <c r="DUQ47" s="319"/>
      <c r="DUR47" s="319"/>
      <c r="DUS47" s="319"/>
      <c r="DUT47" s="319"/>
      <c r="DUU47" s="319"/>
      <c r="DUV47" s="319"/>
      <c r="DUW47" s="319"/>
      <c r="DUX47" s="319"/>
      <c r="DUY47" s="319"/>
      <c r="DUZ47" s="319"/>
      <c r="DVA47" s="319"/>
      <c r="DVB47" s="319"/>
      <c r="DVC47" s="319"/>
      <c r="DVD47" s="319"/>
      <c r="DVE47" s="319"/>
      <c r="DVF47" s="319"/>
      <c r="DVG47" s="319"/>
      <c r="DVH47" s="319"/>
      <c r="DVI47" s="319"/>
      <c r="DVJ47" s="319"/>
      <c r="DVK47" s="319"/>
      <c r="DVL47" s="319"/>
      <c r="DVM47" s="319"/>
      <c r="DVN47" s="319"/>
      <c r="DVO47" s="319"/>
      <c r="DVP47" s="319"/>
      <c r="DVQ47" s="319"/>
      <c r="DVR47" s="319"/>
      <c r="DVS47" s="319"/>
      <c r="DVT47" s="319"/>
      <c r="DVU47" s="319"/>
      <c r="DVV47" s="319"/>
      <c r="DVW47" s="319"/>
      <c r="DVX47" s="319"/>
      <c r="DVY47" s="319"/>
      <c r="DVZ47" s="319"/>
      <c r="DWA47" s="319"/>
      <c r="DWB47" s="319"/>
      <c r="DWC47" s="319"/>
      <c r="DWD47" s="319"/>
      <c r="DWE47" s="319"/>
      <c r="DWF47" s="319"/>
      <c r="DWG47" s="319"/>
      <c r="DWH47" s="319"/>
      <c r="DWI47" s="319"/>
      <c r="DWJ47" s="319"/>
      <c r="DWK47" s="319"/>
      <c r="DWL47" s="319"/>
      <c r="DWM47" s="319"/>
      <c r="DWN47" s="319"/>
      <c r="DWO47" s="319"/>
      <c r="DWP47" s="319"/>
      <c r="DWQ47" s="319"/>
      <c r="DWR47" s="319"/>
      <c r="DWS47" s="319"/>
      <c r="DWT47" s="319"/>
      <c r="DWU47" s="319"/>
      <c r="DWV47" s="319"/>
      <c r="DWW47" s="319"/>
      <c r="DWX47" s="319"/>
      <c r="DWY47" s="319"/>
      <c r="DWZ47" s="319"/>
      <c r="DXA47" s="319"/>
      <c r="DXB47" s="319"/>
      <c r="DXC47" s="319"/>
      <c r="DXD47" s="319"/>
      <c r="DXE47" s="319"/>
      <c r="DXF47" s="319"/>
      <c r="DXG47" s="319"/>
      <c r="DXH47" s="319"/>
      <c r="DXI47" s="319"/>
      <c r="DXJ47" s="319"/>
      <c r="DXK47" s="319"/>
      <c r="DXL47" s="319"/>
      <c r="DXM47" s="319"/>
      <c r="DXN47" s="319"/>
      <c r="DXO47" s="319"/>
      <c r="DXP47" s="319"/>
      <c r="DXQ47" s="319"/>
      <c r="DXR47" s="319"/>
      <c r="DXS47" s="319"/>
      <c r="DXT47" s="319"/>
      <c r="DXU47" s="319"/>
      <c r="DXV47" s="319"/>
      <c r="DXW47" s="319"/>
      <c r="DXX47" s="319"/>
      <c r="DXY47" s="319"/>
      <c r="DXZ47" s="319"/>
      <c r="DYA47" s="319"/>
      <c r="DYB47" s="319"/>
      <c r="DYC47" s="319"/>
      <c r="DYD47" s="319"/>
      <c r="DYE47" s="319"/>
      <c r="DYF47" s="319"/>
      <c r="DYG47" s="319"/>
      <c r="DYH47" s="319"/>
      <c r="DYI47" s="319"/>
      <c r="DYJ47" s="319"/>
      <c r="DYK47" s="319"/>
      <c r="DYL47" s="319"/>
      <c r="DYM47" s="319"/>
      <c r="DYN47" s="319"/>
      <c r="DYO47" s="319"/>
      <c r="DYP47" s="319"/>
      <c r="DYQ47" s="319"/>
      <c r="DYR47" s="319"/>
      <c r="DYS47" s="319"/>
      <c r="DYT47" s="319"/>
      <c r="DYU47" s="319"/>
      <c r="DYV47" s="319"/>
      <c r="DYW47" s="319"/>
      <c r="DYX47" s="319"/>
      <c r="DYY47" s="319"/>
      <c r="DYZ47" s="319"/>
      <c r="DZA47" s="319"/>
      <c r="DZB47" s="319"/>
      <c r="DZC47" s="319"/>
      <c r="DZD47" s="319"/>
      <c r="DZE47" s="319"/>
      <c r="DZF47" s="319"/>
      <c r="DZG47" s="319"/>
      <c r="DZH47" s="319"/>
      <c r="DZI47" s="319"/>
      <c r="DZJ47" s="319"/>
      <c r="DZK47" s="319"/>
      <c r="DZL47" s="319"/>
      <c r="DZM47" s="319"/>
      <c r="DZN47" s="319"/>
      <c r="DZO47" s="319"/>
      <c r="DZP47" s="319"/>
      <c r="DZQ47" s="319"/>
      <c r="DZR47" s="319"/>
      <c r="DZS47" s="319"/>
      <c r="DZT47" s="319"/>
      <c r="DZU47" s="319"/>
      <c r="DZV47" s="319"/>
      <c r="DZW47" s="319"/>
      <c r="DZX47" s="319"/>
      <c r="DZY47" s="319"/>
      <c r="DZZ47" s="319"/>
      <c r="EAA47" s="319"/>
      <c r="EAB47" s="319"/>
      <c r="EAC47" s="319"/>
      <c r="EAD47" s="319"/>
      <c r="EAE47" s="319"/>
      <c r="EAF47" s="319"/>
      <c r="EAG47" s="319"/>
      <c r="EAH47" s="319"/>
      <c r="EAI47" s="319"/>
      <c r="EAJ47" s="319"/>
      <c r="EAK47" s="319"/>
      <c r="EAL47" s="319"/>
      <c r="EAM47" s="319"/>
      <c r="EAN47" s="319"/>
      <c r="EAO47" s="319"/>
      <c r="EAP47" s="319"/>
      <c r="EAQ47" s="319"/>
      <c r="EAR47" s="319"/>
      <c r="EAS47" s="319"/>
      <c r="EAT47" s="319"/>
      <c r="EAU47" s="319"/>
      <c r="EAV47" s="319"/>
      <c r="EAW47" s="319"/>
      <c r="EAX47" s="319"/>
      <c r="EAY47" s="319"/>
      <c r="EAZ47" s="319"/>
      <c r="EBA47" s="319"/>
      <c r="EBB47" s="319"/>
      <c r="EBC47" s="319"/>
      <c r="EBD47" s="319"/>
      <c r="EBE47" s="319"/>
      <c r="EBF47" s="319"/>
      <c r="EBG47" s="319"/>
      <c r="EBH47" s="319"/>
      <c r="EBI47" s="319"/>
      <c r="EBJ47" s="319"/>
      <c r="EBK47" s="319"/>
      <c r="EBL47" s="319"/>
      <c r="EBM47" s="319"/>
      <c r="EBN47" s="319"/>
      <c r="EBO47" s="319"/>
      <c r="EBP47" s="319"/>
      <c r="EBQ47" s="319"/>
      <c r="EBR47" s="319"/>
      <c r="EBS47" s="319"/>
      <c r="EBT47" s="319"/>
      <c r="EBU47" s="319"/>
      <c r="EBV47" s="319"/>
      <c r="EBW47" s="319"/>
      <c r="EBX47" s="319"/>
      <c r="EBY47" s="319"/>
      <c r="EBZ47" s="319"/>
      <c r="ECA47" s="319"/>
      <c r="ECB47" s="319"/>
      <c r="ECC47" s="319"/>
      <c r="ECD47" s="319"/>
      <c r="ECE47" s="319"/>
      <c r="ECF47" s="319"/>
      <c r="ECG47" s="319"/>
      <c r="ECH47" s="319"/>
      <c r="ECI47" s="319"/>
      <c r="ECJ47" s="319"/>
      <c r="ECK47" s="319"/>
      <c r="ECL47" s="319"/>
      <c r="ECM47" s="319"/>
      <c r="ECN47" s="319"/>
      <c r="ECO47" s="319"/>
      <c r="ECP47" s="319"/>
      <c r="ECQ47" s="319"/>
      <c r="ECR47" s="319"/>
      <c r="ECS47" s="319"/>
      <c r="ECT47" s="319"/>
      <c r="ECU47" s="319"/>
      <c r="ECV47" s="319"/>
      <c r="ECW47" s="319"/>
      <c r="ECX47" s="319"/>
      <c r="ECY47" s="319"/>
      <c r="ECZ47" s="319"/>
      <c r="EDA47" s="319"/>
      <c r="EDB47" s="319"/>
      <c r="EDC47" s="319"/>
      <c r="EDD47" s="319"/>
      <c r="EDE47" s="319"/>
      <c r="EDF47" s="319"/>
      <c r="EDG47" s="319"/>
      <c r="EDH47" s="319"/>
      <c r="EDI47" s="319"/>
      <c r="EDJ47" s="319"/>
      <c r="EDK47" s="319"/>
      <c r="EDL47" s="319"/>
      <c r="EDM47" s="319"/>
      <c r="EDN47" s="319"/>
      <c r="EDO47" s="319"/>
      <c r="EDP47" s="319"/>
      <c r="EDQ47" s="319"/>
      <c r="EDR47" s="319"/>
      <c r="EDS47" s="319"/>
      <c r="EDT47" s="319"/>
      <c r="EDU47" s="319"/>
      <c r="EDV47" s="319"/>
      <c r="EDW47" s="319"/>
      <c r="EDX47" s="319"/>
      <c r="EDY47" s="319"/>
      <c r="EDZ47" s="319"/>
      <c r="EEA47" s="319"/>
      <c r="EEB47" s="319"/>
      <c r="EEC47" s="319"/>
      <c r="EED47" s="319"/>
      <c r="EEE47" s="319"/>
      <c r="EEF47" s="319"/>
      <c r="EEG47" s="319"/>
      <c r="EEH47" s="319"/>
      <c r="EEI47" s="319"/>
      <c r="EEJ47" s="319"/>
      <c r="EEK47" s="319"/>
      <c r="EEL47" s="319"/>
      <c r="EEM47" s="319"/>
      <c r="EEN47" s="319"/>
      <c r="EEO47" s="319"/>
      <c r="EEP47" s="319"/>
      <c r="EEQ47" s="319"/>
      <c r="EER47" s="319"/>
      <c r="EES47" s="319"/>
      <c r="EET47" s="319"/>
      <c r="EEU47" s="319"/>
      <c r="EEV47" s="319"/>
      <c r="EEW47" s="319"/>
      <c r="EEX47" s="319"/>
      <c r="EEY47" s="319"/>
      <c r="EEZ47" s="319"/>
      <c r="EFA47" s="319"/>
      <c r="EFB47" s="319"/>
      <c r="EFC47" s="319"/>
      <c r="EFD47" s="319"/>
      <c r="EFE47" s="319"/>
      <c r="EFF47" s="319"/>
      <c r="EFG47" s="319"/>
      <c r="EFH47" s="319"/>
      <c r="EFI47" s="319"/>
      <c r="EFJ47" s="319"/>
      <c r="EFK47" s="319"/>
      <c r="EFL47" s="319"/>
      <c r="EFM47" s="319"/>
      <c r="EFN47" s="319"/>
      <c r="EFO47" s="319"/>
      <c r="EFP47" s="319"/>
      <c r="EFQ47" s="319"/>
      <c r="EFR47" s="319"/>
      <c r="EFS47" s="319"/>
      <c r="EFT47" s="319"/>
      <c r="EFU47" s="319"/>
      <c r="EFV47" s="319"/>
      <c r="EFW47" s="319"/>
      <c r="EFX47" s="319"/>
      <c r="EFY47" s="319"/>
      <c r="EFZ47" s="319"/>
      <c r="EGA47" s="319"/>
      <c r="EGB47" s="319"/>
      <c r="EGC47" s="319"/>
      <c r="EGD47" s="319"/>
      <c r="EGE47" s="319"/>
      <c r="EGF47" s="319"/>
      <c r="EGG47" s="319"/>
      <c r="EGH47" s="319"/>
      <c r="EGI47" s="319"/>
      <c r="EGJ47" s="319"/>
      <c r="EGK47" s="319"/>
      <c r="EGL47" s="319"/>
      <c r="EGM47" s="319"/>
      <c r="EGN47" s="319"/>
      <c r="EGO47" s="319"/>
      <c r="EGP47" s="319"/>
      <c r="EGQ47" s="319"/>
      <c r="EGR47" s="319"/>
      <c r="EGS47" s="319"/>
      <c r="EGT47" s="319"/>
      <c r="EGU47" s="319"/>
      <c r="EGV47" s="319"/>
      <c r="EGW47" s="319"/>
      <c r="EGX47" s="319"/>
      <c r="EGY47" s="319"/>
      <c r="EGZ47" s="319"/>
      <c r="EHA47" s="319"/>
      <c r="EHB47" s="319"/>
      <c r="EHC47" s="319"/>
      <c r="EHD47" s="319"/>
      <c r="EHE47" s="319"/>
      <c r="EHF47" s="319"/>
      <c r="EHG47" s="319"/>
      <c r="EHH47" s="319"/>
      <c r="EHI47" s="319"/>
      <c r="EHJ47" s="319"/>
      <c r="EHK47" s="319"/>
      <c r="EHL47" s="319"/>
      <c r="EHM47" s="319"/>
      <c r="EHN47" s="319"/>
      <c r="EHO47" s="319"/>
      <c r="EHP47" s="319"/>
      <c r="EHQ47" s="319"/>
      <c r="EHR47" s="319"/>
      <c r="EHS47" s="319"/>
      <c r="EHT47" s="319"/>
      <c r="EHU47" s="319"/>
      <c r="EHV47" s="319"/>
      <c r="EHW47" s="319"/>
      <c r="EHX47" s="319"/>
      <c r="EHY47" s="319"/>
      <c r="EHZ47" s="319"/>
      <c r="EIA47" s="319"/>
      <c r="EIB47" s="319"/>
      <c r="EIC47" s="319"/>
      <c r="EID47" s="319"/>
      <c r="EIE47" s="319"/>
      <c r="EIF47" s="319"/>
      <c r="EIG47" s="319"/>
      <c r="EIH47" s="319"/>
      <c r="EII47" s="319"/>
      <c r="EIJ47" s="319"/>
      <c r="EIK47" s="319"/>
      <c r="EIL47" s="319"/>
      <c r="EIM47" s="319"/>
      <c r="EIN47" s="319"/>
      <c r="EIO47" s="319"/>
      <c r="EIP47" s="319"/>
      <c r="EIQ47" s="319"/>
      <c r="EIR47" s="319"/>
      <c r="EIS47" s="319"/>
      <c r="EIT47" s="319"/>
      <c r="EIU47" s="319"/>
      <c r="EIV47" s="319"/>
      <c r="EIW47" s="319"/>
      <c r="EIX47" s="319"/>
      <c r="EIY47" s="319"/>
      <c r="EIZ47" s="319"/>
      <c r="EJA47" s="319"/>
      <c r="EJB47" s="319"/>
      <c r="EJC47" s="319"/>
      <c r="EJD47" s="319"/>
      <c r="EJE47" s="319"/>
      <c r="EJF47" s="319"/>
      <c r="EJG47" s="319"/>
      <c r="EJH47" s="319"/>
      <c r="EJI47" s="319"/>
      <c r="EJJ47" s="319"/>
      <c r="EJK47" s="319"/>
      <c r="EJL47" s="319"/>
      <c r="EJM47" s="319"/>
      <c r="EJN47" s="319"/>
      <c r="EJO47" s="319"/>
      <c r="EJP47" s="319"/>
      <c r="EJQ47" s="319"/>
      <c r="EJR47" s="319"/>
      <c r="EJS47" s="319"/>
      <c r="EJT47" s="319"/>
      <c r="EJU47" s="319"/>
      <c r="EJV47" s="319"/>
      <c r="EJW47" s="319"/>
      <c r="EJX47" s="319"/>
      <c r="EJY47" s="319"/>
      <c r="EJZ47" s="319"/>
      <c r="EKA47" s="319"/>
      <c r="EKB47" s="319"/>
      <c r="EKC47" s="319"/>
      <c r="EKD47" s="319"/>
      <c r="EKE47" s="319"/>
      <c r="EKF47" s="319"/>
      <c r="EKG47" s="319"/>
      <c r="EKH47" s="319"/>
      <c r="EKI47" s="319"/>
      <c r="EKJ47" s="319"/>
      <c r="EKK47" s="319"/>
      <c r="EKL47" s="319"/>
      <c r="EKM47" s="319"/>
      <c r="EKN47" s="319"/>
      <c r="EKO47" s="319"/>
      <c r="EKP47" s="319"/>
      <c r="EKQ47" s="319"/>
      <c r="EKR47" s="319"/>
      <c r="EKS47" s="319"/>
      <c r="EKT47" s="319"/>
      <c r="EKU47" s="319"/>
      <c r="EKV47" s="319"/>
      <c r="EKW47" s="319"/>
      <c r="EKX47" s="319"/>
      <c r="EKY47" s="319"/>
      <c r="EKZ47" s="319"/>
      <c r="ELA47" s="319"/>
      <c r="ELB47" s="319"/>
      <c r="ELC47" s="319"/>
      <c r="ELD47" s="319"/>
      <c r="ELE47" s="319"/>
      <c r="ELF47" s="319"/>
      <c r="ELG47" s="319"/>
      <c r="ELH47" s="319"/>
      <c r="ELI47" s="319"/>
      <c r="ELJ47" s="319"/>
      <c r="ELK47" s="319"/>
      <c r="ELL47" s="319"/>
      <c r="ELM47" s="319"/>
      <c r="ELN47" s="319"/>
      <c r="ELO47" s="319"/>
      <c r="ELP47" s="319"/>
      <c r="ELQ47" s="319"/>
      <c r="ELR47" s="319"/>
      <c r="ELS47" s="319"/>
      <c r="ELT47" s="319"/>
      <c r="ELU47" s="319"/>
      <c r="ELV47" s="319"/>
      <c r="ELW47" s="319"/>
      <c r="ELX47" s="319"/>
      <c r="ELY47" s="319"/>
      <c r="ELZ47" s="319"/>
      <c r="EMA47" s="319"/>
      <c r="EMB47" s="319"/>
      <c r="EMC47" s="319"/>
      <c r="EMD47" s="319"/>
      <c r="EME47" s="319"/>
      <c r="EMF47" s="319"/>
      <c r="EMG47" s="319"/>
      <c r="EMH47" s="319"/>
      <c r="EMI47" s="319"/>
      <c r="EMJ47" s="319"/>
      <c r="EMK47" s="319"/>
      <c r="EML47" s="319"/>
      <c r="EMM47" s="319"/>
      <c r="EMN47" s="319"/>
      <c r="EMO47" s="319"/>
      <c r="EMP47" s="319"/>
      <c r="EMQ47" s="319"/>
      <c r="EMR47" s="319"/>
      <c r="EMS47" s="319"/>
      <c r="EMT47" s="319"/>
      <c r="EMU47" s="319"/>
      <c r="EMV47" s="319"/>
      <c r="EMW47" s="319"/>
      <c r="EMX47" s="319"/>
      <c r="EMY47" s="319"/>
      <c r="EMZ47" s="319"/>
      <c r="ENA47" s="319"/>
      <c r="ENB47" s="319"/>
      <c r="ENC47" s="319"/>
      <c r="END47" s="319"/>
      <c r="ENE47" s="319"/>
      <c r="ENF47" s="319"/>
      <c r="ENG47" s="319"/>
      <c r="ENH47" s="319"/>
      <c r="ENI47" s="319"/>
      <c r="ENJ47" s="319"/>
      <c r="ENK47" s="319"/>
      <c r="ENL47" s="319"/>
      <c r="ENM47" s="319"/>
      <c r="ENN47" s="319"/>
      <c r="ENO47" s="319"/>
      <c r="ENP47" s="319"/>
      <c r="ENQ47" s="319"/>
      <c r="ENR47" s="319"/>
      <c r="ENS47" s="319"/>
      <c r="ENT47" s="319"/>
      <c r="ENU47" s="319"/>
      <c r="ENV47" s="319"/>
      <c r="ENW47" s="319"/>
      <c r="ENX47" s="319"/>
      <c r="ENY47" s="319"/>
      <c r="ENZ47" s="319"/>
      <c r="EOA47" s="319"/>
      <c r="EOB47" s="319"/>
      <c r="EOC47" s="319"/>
      <c r="EOD47" s="319"/>
      <c r="EOE47" s="319"/>
      <c r="EOF47" s="319"/>
      <c r="EOG47" s="319"/>
      <c r="EOH47" s="319"/>
      <c r="EOI47" s="319"/>
      <c r="EOJ47" s="319"/>
      <c r="EOK47" s="319"/>
      <c r="EOL47" s="319"/>
      <c r="EOM47" s="319"/>
      <c r="EON47" s="319"/>
      <c r="EOO47" s="319"/>
      <c r="EOP47" s="319"/>
      <c r="EOQ47" s="319"/>
      <c r="EOR47" s="319"/>
      <c r="EOS47" s="319"/>
      <c r="EOT47" s="319"/>
      <c r="EOU47" s="319"/>
      <c r="EOV47" s="319"/>
      <c r="EOW47" s="319"/>
      <c r="EOX47" s="319"/>
      <c r="EOY47" s="319"/>
      <c r="EOZ47" s="319"/>
      <c r="EPA47" s="319"/>
      <c r="EPB47" s="319"/>
      <c r="EPC47" s="319"/>
      <c r="EPD47" s="319"/>
      <c r="EPE47" s="319"/>
      <c r="EPF47" s="319"/>
      <c r="EPG47" s="319"/>
      <c r="EPH47" s="319"/>
      <c r="EPI47" s="319"/>
      <c r="EPJ47" s="319"/>
      <c r="EPK47" s="319"/>
      <c r="EPL47" s="319"/>
      <c r="EPM47" s="319"/>
      <c r="EPN47" s="319"/>
      <c r="EPO47" s="319"/>
      <c r="EPP47" s="319"/>
      <c r="EPQ47" s="319"/>
      <c r="EPR47" s="319"/>
      <c r="EPS47" s="319"/>
      <c r="EPT47" s="319"/>
      <c r="EPU47" s="319"/>
      <c r="EPV47" s="319"/>
      <c r="EPW47" s="319"/>
      <c r="EPX47" s="319"/>
      <c r="EPY47" s="319"/>
      <c r="EPZ47" s="319"/>
      <c r="EQA47" s="319"/>
      <c r="EQB47" s="319"/>
      <c r="EQC47" s="319"/>
      <c r="EQD47" s="319"/>
      <c r="EQE47" s="319"/>
      <c r="EQF47" s="319"/>
      <c r="EQG47" s="319"/>
      <c r="EQH47" s="319"/>
      <c r="EQI47" s="319"/>
      <c r="EQJ47" s="319"/>
      <c r="EQK47" s="319"/>
      <c r="EQL47" s="319"/>
      <c r="EQM47" s="319"/>
      <c r="EQN47" s="319"/>
      <c r="EQO47" s="319"/>
      <c r="EQP47" s="319"/>
      <c r="EQQ47" s="319"/>
      <c r="EQR47" s="319"/>
      <c r="EQS47" s="319"/>
      <c r="EQT47" s="319"/>
      <c r="EQU47" s="319"/>
      <c r="EQV47" s="319"/>
      <c r="EQW47" s="319"/>
      <c r="EQX47" s="319"/>
      <c r="EQY47" s="319"/>
      <c r="EQZ47" s="319"/>
      <c r="ERA47" s="319"/>
      <c r="ERB47" s="319"/>
      <c r="ERC47" s="319"/>
      <c r="ERD47" s="319"/>
      <c r="ERE47" s="319"/>
      <c r="ERF47" s="319"/>
      <c r="ERG47" s="319"/>
      <c r="ERH47" s="319"/>
      <c r="ERI47" s="319"/>
      <c r="ERJ47" s="319"/>
      <c r="ERK47" s="319"/>
      <c r="ERL47" s="319"/>
      <c r="ERM47" s="319"/>
      <c r="ERN47" s="319"/>
      <c r="ERO47" s="319"/>
      <c r="ERP47" s="319"/>
      <c r="ERQ47" s="319"/>
      <c r="ERR47" s="319"/>
      <c r="ERS47" s="319"/>
      <c r="ERT47" s="319"/>
      <c r="ERU47" s="319"/>
      <c r="ERV47" s="319"/>
      <c r="ERW47" s="319"/>
      <c r="ERX47" s="319"/>
      <c r="ERY47" s="319"/>
      <c r="ERZ47" s="319"/>
      <c r="ESA47" s="319"/>
      <c r="ESB47" s="319"/>
      <c r="ESC47" s="319"/>
      <c r="ESD47" s="319"/>
      <c r="ESE47" s="319"/>
      <c r="ESF47" s="319"/>
      <c r="ESG47" s="319"/>
      <c r="ESH47" s="319"/>
      <c r="ESI47" s="319"/>
      <c r="ESJ47" s="319"/>
      <c r="ESK47" s="319"/>
      <c r="ESL47" s="319"/>
      <c r="ESM47" s="319"/>
      <c r="ESN47" s="319"/>
      <c r="ESO47" s="319"/>
      <c r="ESP47" s="319"/>
      <c r="ESQ47" s="319"/>
      <c r="ESR47" s="319"/>
      <c r="ESS47" s="319"/>
      <c r="EST47" s="319"/>
      <c r="ESU47" s="319"/>
      <c r="ESV47" s="319"/>
      <c r="ESW47" s="319"/>
      <c r="ESX47" s="319"/>
      <c r="ESY47" s="319"/>
      <c r="ESZ47" s="319"/>
      <c r="ETA47" s="319"/>
      <c r="ETB47" s="319"/>
      <c r="ETC47" s="319"/>
      <c r="ETD47" s="319"/>
      <c r="ETE47" s="319"/>
      <c r="ETF47" s="319"/>
      <c r="ETG47" s="319"/>
      <c r="ETH47" s="319"/>
      <c r="ETI47" s="319"/>
      <c r="ETJ47" s="319"/>
      <c r="ETK47" s="319"/>
      <c r="ETL47" s="319"/>
      <c r="ETM47" s="319"/>
      <c r="ETN47" s="319"/>
      <c r="ETO47" s="319"/>
      <c r="ETP47" s="319"/>
      <c r="ETQ47" s="319"/>
      <c r="ETR47" s="319"/>
      <c r="ETS47" s="319"/>
      <c r="ETT47" s="319"/>
      <c r="ETU47" s="319"/>
      <c r="ETV47" s="319"/>
      <c r="ETW47" s="319"/>
      <c r="ETX47" s="319"/>
      <c r="ETY47" s="319"/>
      <c r="ETZ47" s="319"/>
      <c r="EUA47" s="319"/>
      <c r="EUB47" s="319"/>
      <c r="EUC47" s="319"/>
      <c r="EUD47" s="319"/>
      <c r="EUE47" s="319"/>
      <c r="EUF47" s="319"/>
      <c r="EUG47" s="319"/>
      <c r="EUH47" s="319"/>
      <c r="EUI47" s="319"/>
      <c r="EUJ47" s="319"/>
      <c r="EUK47" s="319"/>
      <c r="EUL47" s="319"/>
      <c r="EUM47" s="319"/>
      <c r="EUN47" s="319"/>
      <c r="EUO47" s="319"/>
      <c r="EUP47" s="319"/>
      <c r="EUQ47" s="319"/>
      <c r="EUR47" s="319"/>
      <c r="EUS47" s="319"/>
      <c r="EUT47" s="319"/>
      <c r="EUU47" s="319"/>
      <c r="EUV47" s="319"/>
      <c r="EUW47" s="319"/>
      <c r="EUX47" s="319"/>
      <c r="EUY47" s="319"/>
      <c r="EUZ47" s="319"/>
      <c r="EVA47" s="319"/>
      <c r="EVB47" s="319"/>
      <c r="EVC47" s="319"/>
      <c r="EVD47" s="319"/>
      <c r="EVE47" s="319"/>
      <c r="EVF47" s="319"/>
      <c r="EVG47" s="319"/>
      <c r="EVH47" s="319"/>
      <c r="EVI47" s="319"/>
      <c r="EVJ47" s="319"/>
      <c r="EVK47" s="319"/>
      <c r="EVL47" s="319"/>
      <c r="EVM47" s="319"/>
      <c r="EVN47" s="319"/>
      <c r="EVO47" s="319"/>
      <c r="EVP47" s="319"/>
      <c r="EVQ47" s="319"/>
      <c r="EVR47" s="319"/>
      <c r="EVS47" s="319"/>
      <c r="EVT47" s="319"/>
      <c r="EVU47" s="319"/>
      <c r="EVV47" s="319"/>
      <c r="EVW47" s="319"/>
      <c r="EVX47" s="319"/>
      <c r="EVY47" s="319"/>
      <c r="EVZ47" s="319"/>
      <c r="EWA47" s="319"/>
      <c r="EWB47" s="319"/>
      <c r="EWC47" s="319"/>
      <c r="EWD47" s="319"/>
      <c r="EWE47" s="319"/>
      <c r="EWF47" s="319"/>
      <c r="EWG47" s="319"/>
      <c r="EWH47" s="319"/>
      <c r="EWI47" s="319"/>
      <c r="EWJ47" s="319"/>
      <c r="EWK47" s="319"/>
      <c r="EWL47" s="319"/>
      <c r="EWM47" s="319"/>
      <c r="EWN47" s="319"/>
      <c r="EWO47" s="319"/>
      <c r="EWP47" s="319"/>
      <c r="EWQ47" s="319"/>
      <c r="EWR47" s="319"/>
      <c r="EWS47" s="319"/>
      <c r="EWT47" s="319"/>
      <c r="EWU47" s="319"/>
      <c r="EWV47" s="319"/>
      <c r="EWW47" s="319"/>
      <c r="EWX47" s="319"/>
      <c r="EWY47" s="319"/>
      <c r="EWZ47" s="319"/>
      <c r="EXA47" s="319"/>
      <c r="EXB47" s="319"/>
      <c r="EXC47" s="319"/>
      <c r="EXD47" s="319"/>
      <c r="EXE47" s="319"/>
      <c r="EXF47" s="319"/>
      <c r="EXG47" s="319"/>
      <c r="EXH47" s="319"/>
      <c r="EXI47" s="319"/>
      <c r="EXJ47" s="319"/>
      <c r="EXK47" s="319"/>
      <c r="EXL47" s="319"/>
      <c r="EXM47" s="319"/>
      <c r="EXN47" s="319"/>
      <c r="EXO47" s="319"/>
      <c r="EXP47" s="319"/>
      <c r="EXQ47" s="319"/>
      <c r="EXR47" s="319"/>
      <c r="EXS47" s="319"/>
      <c r="EXT47" s="319"/>
      <c r="EXU47" s="319"/>
      <c r="EXV47" s="319"/>
      <c r="EXW47" s="319"/>
      <c r="EXX47" s="319"/>
      <c r="EXY47" s="319"/>
      <c r="EXZ47" s="319"/>
      <c r="EYA47" s="319"/>
      <c r="EYB47" s="319"/>
      <c r="EYC47" s="319"/>
      <c r="EYD47" s="319"/>
      <c r="EYE47" s="319"/>
      <c r="EYF47" s="319"/>
      <c r="EYG47" s="319"/>
      <c r="EYH47" s="319"/>
      <c r="EYI47" s="319"/>
      <c r="EYJ47" s="319"/>
      <c r="EYK47" s="319"/>
      <c r="EYL47" s="319"/>
      <c r="EYM47" s="319"/>
      <c r="EYN47" s="319"/>
      <c r="EYO47" s="319"/>
      <c r="EYP47" s="319"/>
      <c r="EYQ47" s="319"/>
      <c r="EYR47" s="319"/>
      <c r="EYS47" s="319"/>
      <c r="EYT47" s="319"/>
      <c r="EYU47" s="319"/>
      <c r="EYV47" s="319"/>
      <c r="EYW47" s="319"/>
      <c r="EYX47" s="319"/>
      <c r="EYY47" s="319"/>
      <c r="EYZ47" s="319"/>
      <c r="EZA47" s="319"/>
      <c r="EZB47" s="319"/>
      <c r="EZC47" s="319"/>
      <c r="EZD47" s="319"/>
      <c r="EZE47" s="319"/>
      <c r="EZF47" s="319"/>
      <c r="EZG47" s="319"/>
      <c r="EZH47" s="319"/>
      <c r="EZI47" s="319"/>
      <c r="EZJ47" s="319"/>
      <c r="EZK47" s="319"/>
      <c r="EZL47" s="319"/>
      <c r="EZM47" s="319"/>
      <c r="EZN47" s="319"/>
      <c r="EZO47" s="319"/>
      <c r="EZP47" s="319"/>
      <c r="EZQ47" s="319"/>
      <c r="EZR47" s="319"/>
      <c r="EZS47" s="319"/>
      <c r="EZT47" s="319"/>
      <c r="EZU47" s="319"/>
      <c r="EZV47" s="319"/>
      <c r="EZW47" s="319"/>
      <c r="EZX47" s="319"/>
      <c r="EZY47" s="319"/>
      <c r="EZZ47" s="319"/>
      <c r="FAA47" s="319"/>
      <c r="FAB47" s="319"/>
      <c r="FAC47" s="319"/>
      <c r="FAD47" s="319"/>
      <c r="FAE47" s="319"/>
      <c r="FAF47" s="319"/>
      <c r="FAG47" s="319"/>
      <c r="FAH47" s="319"/>
      <c r="FAI47" s="319"/>
      <c r="FAJ47" s="319"/>
      <c r="FAK47" s="319"/>
      <c r="FAL47" s="319"/>
      <c r="FAM47" s="319"/>
      <c r="FAN47" s="319"/>
      <c r="FAO47" s="319"/>
      <c r="FAP47" s="319"/>
      <c r="FAQ47" s="319"/>
      <c r="FAR47" s="319"/>
      <c r="FAS47" s="319"/>
      <c r="FAT47" s="319"/>
      <c r="FAU47" s="319"/>
      <c r="FAV47" s="319"/>
      <c r="FAW47" s="319"/>
      <c r="FAX47" s="319"/>
      <c r="FAY47" s="319"/>
      <c r="FAZ47" s="319"/>
      <c r="FBA47" s="319"/>
      <c r="FBB47" s="319"/>
      <c r="FBC47" s="319"/>
      <c r="FBD47" s="319"/>
      <c r="FBE47" s="319"/>
      <c r="FBF47" s="319"/>
      <c r="FBG47" s="319"/>
      <c r="FBH47" s="319"/>
      <c r="FBI47" s="319"/>
      <c r="FBJ47" s="319"/>
      <c r="FBK47" s="319"/>
      <c r="FBL47" s="319"/>
      <c r="FBM47" s="319"/>
      <c r="FBN47" s="319"/>
      <c r="FBO47" s="319"/>
      <c r="FBP47" s="319"/>
      <c r="FBQ47" s="319"/>
      <c r="FBR47" s="319"/>
      <c r="FBS47" s="319"/>
      <c r="FBT47" s="319"/>
      <c r="FBU47" s="319"/>
      <c r="FBV47" s="319"/>
      <c r="FBW47" s="319"/>
      <c r="FBX47" s="319"/>
      <c r="FBY47" s="319"/>
      <c r="FBZ47" s="319"/>
      <c r="FCA47" s="319"/>
      <c r="FCB47" s="319"/>
      <c r="FCC47" s="319"/>
      <c r="FCD47" s="319"/>
      <c r="FCE47" s="319"/>
      <c r="FCF47" s="319"/>
      <c r="FCG47" s="319"/>
      <c r="FCH47" s="319"/>
      <c r="FCI47" s="319"/>
      <c r="FCJ47" s="319"/>
      <c r="FCK47" s="319"/>
      <c r="FCL47" s="319"/>
      <c r="FCM47" s="319"/>
      <c r="FCN47" s="319"/>
      <c r="FCO47" s="319"/>
      <c r="FCP47" s="319"/>
      <c r="FCQ47" s="319"/>
      <c r="FCR47" s="319"/>
      <c r="FCS47" s="319"/>
      <c r="FCT47" s="319"/>
      <c r="FCU47" s="319"/>
      <c r="FCV47" s="319"/>
      <c r="FCW47" s="319"/>
      <c r="FCX47" s="319"/>
      <c r="FCY47" s="319"/>
      <c r="FCZ47" s="319"/>
      <c r="FDA47" s="319"/>
      <c r="FDB47" s="319"/>
      <c r="FDC47" s="319"/>
      <c r="FDD47" s="319"/>
      <c r="FDE47" s="319"/>
      <c r="FDF47" s="319"/>
      <c r="FDG47" s="319"/>
      <c r="FDH47" s="319"/>
      <c r="FDI47" s="319"/>
      <c r="FDJ47" s="319"/>
      <c r="FDK47" s="319"/>
      <c r="FDL47" s="319"/>
      <c r="FDM47" s="319"/>
      <c r="FDN47" s="319"/>
      <c r="FDO47" s="319"/>
      <c r="FDP47" s="319"/>
      <c r="FDQ47" s="319"/>
      <c r="FDR47" s="319"/>
      <c r="FDS47" s="319"/>
      <c r="FDT47" s="319"/>
      <c r="FDU47" s="319"/>
      <c r="FDV47" s="319"/>
      <c r="FDW47" s="319"/>
      <c r="FDX47" s="319"/>
      <c r="FDY47" s="319"/>
      <c r="FDZ47" s="319"/>
      <c r="FEA47" s="319"/>
      <c r="FEB47" s="319"/>
      <c r="FEC47" s="319"/>
      <c r="FED47" s="319"/>
      <c r="FEE47" s="319"/>
      <c r="FEF47" s="319"/>
      <c r="FEG47" s="319"/>
      <c r="FEH47" s="319"/>
      <c r="FEI47" s="319"/>
      <c r="FEJ47" s="319"/>
      <c r="FEK47" s="319"/>
      <c r="FEL47" s="319"/>
      <c r="FEM47" s="319"/>
      <c r="FEN47" s="319"/>
      <c r="FEO47" s="319"/>
      <c r="FEP47" s="319"/>
      <c r="FEQ47" s="319"/>
      <c r="FER47" s="319"/>
      <c r="FES47" s="319"/>
      <c r="FET47" s="319"/>
      <c r="FEU47" s="319"/>
      <c r="FEV47" s="319"/>
      <c r="FEW47" s="319"/>
      <c r="FEX47" s="319"/>
      <c r="FEY47" s="319"/>
      <c r="FEZ47" s="319"/>
      <c r="FFA47" s="319"/>
      <c r="FFB47" s="319"/>
      <c r="FFC47" s="319"/>
      <c r="FFD47" s="319"/>
      <c r="FFE47" s="319"/>
      <c r="FFF47" s="319"/>
      <c r="FFG47" s="319"/>
      <c r="FFH47" s="319"/>
      <c r="FFI47" s="319"/>
      <c r="FFJ47" s="319"/>
      <c r="FFK47" s="319"/>
      <c r="FFL47" s="319"/>
      <c r="FFM47" s="319"/>
      <c r="FFN47" s="319"/>
      <c r="FFO47" s="319"/>
      <c r="FFP47" s="319"/>
      <c r="FFQ47" s="319"/>
      <c r="FFR47" s="319"/>
      <c r="FFS47" s="319"/>
      <c r="FFT47" s="319"/>
      <c r="FFU47" s="319"/>
      <c r="FFV47" s="319"/>
      <c r="FFW47" s="319"/>
      <c r="FFX47" s="319"/>
      <c r="FFY47" s="319"/>
      <c r="FFZ47" s="319"/>
      <c r="FGA47" s="319"/>
      <c r="FGB47" s="319"/>
      <c r="FGC47" s="319"/>
      <c r="FGD47" s="319"/>
      <c r="FGE47" s="319"/>
      <c r="FGF47" s="319"/>
      <c r="FGG47" s="319"/>
      <c r="FGH47" s="319"/>
      <c r="FGI47" s="319"/>
      <c r="FGJ47" s="319"/>
      <c r="FGK47" s="319"/>
      <c r="FGL47" s="319"/>
      <c r="FGM47" s="319"/>
      <c r="FGN47" s="319"/>
      <c r="FGO47" s="319"/>
      <c r="FGP47" s="319"/>
      <c r="FGQ47" s="319"/>
      <c r="FGR47" s="319"/>
      <c r="FGS47" s="319"/>
      <c r="FGT47" s="319"/>
      <c r="FGU47" s="319"/>
      <c r="FGV47" s="319"/>
      <c r="FGW47" s="319"/>
      <c r="FGX47" s="319"/>
      <c r="FGY47" s="319"/>
      <c r="FGZ47" s="319"/>
      <c r="FHA47" s="319"/>
      <c r="FHB47" s="319"/>
      <c r="FHC47" s="319"/>
      <c r="FHD47" s="319"/>
      <c r="FHE47" s="319"/>
      <c r="FHF47" s="319"/>
      <c r="FHG47" s="319"/>
      <c r="FHH47" s="319"/>
      <c r="FHI47" s="319"/>
      <c r="FHJ47" s="319"/>
      <c r="FHK47" s="319"/>
      <c r="FHL47" s="319"/>
      <c r="FHM47" s="319"/>
      <c r="FHN47" s="319"/>
      <c r="FHO47" s="319"/>
      <c r="FHP47" s="319"/>
      <c r="FHQ47" s="319"/>
      <c r="FHR47" s="319"/>
      <c r="FHS47" s="319"/>
      <c r="FHT47" s="319"/>
      <c r="FHU47" s="319"/>
      <c r="FHV47" s="319"/>
      <c r="FHW47" s="319"/>
      <c r="FHX47" s="319"/>
      <c r="FHY47" s="319"/>
      <c r="FHZ47" s="319"/>
      <c r="FIA47" s="319"/>
      <c r="FIB47" s="319"/>
      <c r="FIC47" s="319"/>
      <c r="FID47" s="319"/>
      <c r="FIE47" s="319"/>
      <c r="FIF47" s="319"/>
      <c r="FIG47" s="319"/>
      <c r="FIH47" s="319"/>
      <c r="FII47" s="319"/>
      <c r="FIJ47" s="319"/>
      <c r="FIK47" s="319"/>
      <c r="FIL47" s="319"/>
      <c r="FIM47" s="319"/>
      <c r="FIN47" s="319"/>
      <c r="FIO47" s="319"/>
      <c r="FIP47" s="319"/>
      <c r="FIQ47" s="319"/>
      <c r="FIR47" s="319"/>
      <c r="FIS47" s="319"/>
      <c r="FIT47" s="319"/>
      <c r="FIU47" s="319"/>
      <c r="FIV47" s="319"/>
      <c r="FIW47" s="319"/>
      <c r="FIX47" s="319"/>
      <c r="FIY47" s="319"/>
      <c r="FIZ47" s="319"/>
      <c r="FJA47" s="319"/>
      <c r="FJB47" s="319"/>
      <c r="FJC47" s="319"/>
      <c r="FJD47" s="319"/>
      <c r="FJE47" s="319"/>
      <c r="FJF47" s="319"/>
      <c r="FJG47" s="319"/>
      <c r="FJH47" s="319"/>
      <c r="FJI47" s="319"/>
      <c r="FJJ47" s="319"/>
      <c r="FJK47" s="319"/>
      <c r="FJL47" s="319"/>
      <c r="FJM47" s="319"/>
      <c r="FJN47" s="319"/>
      <c r="FJO47" s="319"/>
      <c r="FJP47" s="319"/>
      <c r="FJQ47" s="319"/>
      <c r="FJR47" s="319"/>
      <c r="FJS47" s="319"/>
      <c r="FJT47" s="319"/>
      <c r="FJU47" s="319"/>
      <c r="FJV47" s="319"/>
      <c r="FJW47" s="319"/>
      <c r="FJX47" s="319"/>
      <c r="FJY47" s="319"/>
      <c r="FJZ47" s="319"/>
      <c r="FKA47" s="319"/>
      <c r="FKB47" s="319"/>
      <c r="FKC47" s="319"/>
      <c r="FKD47" s="319"/>
      <c r="FKE47" s="319"/>
      <c r="FKF47" s="319"/>
      <c r="FKG47" s="319"/>
      <c r="FKH47" s="319"/>
      <c r="FKI47" s="319"/>
      <c r="FKJ47" s="319"/>
      <c r="FKK47" s="319"/>
      <c r="FKL47" s="319"/>
      <c r="FKM47" s="319"/>
      <c r="FKN47" s="319"/>
      <c r="FKO47" s="319"/>
      <c r="FKP47" s="319"/>
      <c r="FKQ47" s="319"/>
      <c r="FKR47" s="319"/>
      <c r="FKS47" s="319"/>
      <c r="FKT47" s="319"/>
      <c r="FKU47" s="319"/>
      <c r="FKV47" s="319"/>
      <c r="FKW47" s="319"/>
      <c r="FKX47" s="319"/>
      <c r="FKY47" s="319"/>
      <c r="FKZ47" s="319"/>
      <c r="FLA47" s="319"/>
      <c r="FLB47" s="319"/>
      <c r="FLC47" s="319"/>
      <c r="FLD47" s="319"/>
      <c r="FLE47" s="319"/>
      <c r="FLF47" s="319"/>
      <c r="FLG47" s="319"/>
      <c r="FLH47" s="319"/>
      <c r="FLI47" s="319"/>
      <c r="FLJ47" s="319"/>
      <c r="FLK47" s="319"/>
      <c r="FLL47" s="319"/>
      <c r="FLM47" s="319"/>
      <c r="FLN47" s="319"/>
      <c r="FLO47" s="319"/>
      <c r="FLP47" s="319"/>
      <c r="FLQ47" s="319"/>
      <c r="FLR47" s="319"/>
      <c r="FLS47" s="319"/>
      <c r="FLT47" s="319"/>
      <c r="FLU47" s="319"/>
      <c r="FLV47" s="319"/>
      <c r="FLW47" s="319"/>
      <c r="FLX47" s="319"/>
      <c r="FLY47" s="319"/>
      <c r="FLZ47" s="319"/>
      <c r="FMA47" s="319"/>
      <c r="FMB47" s="319"/>
      <c r="FMC47" s="319"/>
      <c r="FMD47" s="319"/>
      <c r="FME47" s="319"/>
      <c r="FMF47" s="319"/>
      <c r="FMG47" s="319"/>
      <c r="FMH47" s="319"/>
      <c r="FMI47" s="319"/>
      <c r="FMJ47" s="319"/>
      <c r="FMK47" s="319"/>
      <c r="FML47" s="319"/>
      <c r="FMM47" s="319"/>
      <c r="FMN47" s="319"/>
      <c r="FMO47" s="319"/>
      <c r="FMP47" s="319"/>
      <c r="FMQ47" s="319"/>
      <c r="FMR47" s="319"/>
      <c r="FMS47" s="319"/>
      <c r="FMT47" s="319"/>
      <c r="FMU47" s="319"/>
      <c r="FMV47" s="319"/>
      <c r="FMW47" s="319"/>
      <c r="FMX47" s="319"/>
      <c r="FMY47" s="319"/>
      <c r="FMZ47" s="319"/>
      <c r="FNA47" s="319"/>
      <c r="FNB47" s="319"/>
      <c r="FNC47" s="319"/>
      <c r="FND47" s="319"/>
      <c r="FNE47" s="319"/>
      <c r="FNF47" s="319"/>
      <c r="FNG47" s="319"/>
      <c r="FNH47" s="319"/>
      <c r="FNI47" s="319"/>
      <c r="FNJ47" s="319"/>
      <c r="FNK47" s="319"/>
      <c r="FNL47" s="319"/>
      <c r="FNM47" s="319"/>
      <c r="FNN47" s="319"/>
      <c r="FNO47" s="319"/>
      <c r="FNP47" s="319"/>
      <c r="FNQ47" s="319"/>
      <c r="FNR47" s="319"/>
      <c r="FNS47" s="319"/>
      <c r="FNT47" s="319"/>
      <c r="FNU47" s="319"/>
      <c r="FNV47" s="319"/>
      <c r="FNW47" s="319"/>
      <c r="FNX47" s="319"/>
      <c r="FNY47" s="319"/>
      <c r="FNZ47" s="319"/>
      <c r="FOA47" s="319"/>
      <c r="FOB47" s="319"/>
      <c r="FOC47" s="319"/>
      <c r="FOD47" s="319"/>
      <c r="FOE47" s="319"/>
      <c r="FOF47" s="319"/>
      <c r="FOG47" s="319"/>
      <c r="FOH47" s="319"/>
      <c r="FOI47" s="319"/>
      <c r="FOJ47" s="319"/>
      <c r="FOK47" s="319"/>
      <c r="FOL47" s="319"/>
      <c r="FOM47" s="319"/>
      <c r="FON47" s="319"/>
      <c r="FOO47" s="319"/>
      <c r="FOP47" s="319"/>
      <c r="FOQ47" s="319"/>
      <c r="FOR47" s="319"/>
      <c r="FOS47" s="319"/>
      <c r="FOT47" s="319"/>
      <c r="FOU47" s="319"/>
      <c r="FOV47" s="319"/>
      <c r="FOW47" s="319"/>
      <c r="FOX47" s="319"/>
      <c r="FOY47" s="319"/>
      <c r="FOZ47" s="319"/>
      <c r="FPA47" s="319"/>
      <c r="FPB47" s="319"/>
      <c r="FPC47" s="319"/>
      <c r="FPD47" s="319"/>
      <c r="FPE47" s="319"/>
      <c r="FPF47" s="319"/>
      <c r="FPG47" s="319"/>
      <c r="FPH47" s="319"/>
      <c r="FPI47" s="319"/>
      <c r="FPJ47" s="319"/>
      <c r="FPK47" s="319"/>
      <c r="FPL47" s="319"/>
      <c r="FPM47" s="319"/>
      <c r="FPN47" s="319"/>
      <c r="FPO47" s="319"/>
      <c r="FPP47" s="319"/>
      <c r="FPQ47" s="319"/>
      <c r="FPR47" s="319"/>
      <c r="FPS47" s="319"/>
      <c r="FPT47" s="319"/>
      <c r="FPU47" s="319"/>
      <c r="FPV47" s="319"/>
      <c r="FPW47" s="319"/>
      <c r="FPX47" s="319"/>
      <c r="FPY47" s="319"/>
      <c r="FPZ47" s="319"/>
      <c r="FQA47" s="319"/>
      <c r="FQB47" s="319"/>
      <c r="FQC47" s="319"/>
      <c r="FQD47" s="319"/>
      <c r="FQE47" s="319"/>
      <c r="FQF47" s="319"/>
      <c r="FQG47" s="319"/>
      <c r="FQH47" s="319"/>
      <c r="FQI47" s="319"/>
      <c r="FQJ47" s="319"/>
      <c r="FQK47" s="319"/>
      <c r="FQL47" s="319"/>
      <c r="FQM47" s="319"/>
      <c r="FQN47" s="319"/>
      <c r="FQO47" s="319"/>
      <c r="FQP47" s="319"/>
      <c r="FQQ47" s="319"/>
      <c r="FQR47" s="319"/>
      <c r="FQS47" s="319"/>
      <c r="FQT47" s="319"/>
      <c r="FQU47" s="319"/>
      <c r="FQV47" s="319"/>
      <c r="FQW47" s="319"/>
      <c r="FQX47" s="319"/>
      <c r="FQY47" s="319"/>
      <c r="FQZ47" s="319"/>
      <c r="FRA47" s="319"/>
      <c r="FRB47" s="319"/>
      <c r="FRC47" s="319"/>
      <c r="FRD47" s="319"/>
      <c r="FRE47" s="319"/>
      <c r="FRF47" s="319"/>
      <c r="FRG47" s="319"/>
      <c r="FRH47" s="319"/>
      <c r="FRI47" s="319"/>
      <c r="FRJ47" s="319"/>
      <c r="FRK47" s="319"/>
      <c r="FRL47" s="319"/>
      <c r="FRM47" s="319"/>
      <c r="FRN47" s="319"/>
      <c r="FRO47" s="319"/>
      <c r="FRP47" s="319"/>
      <c r="FRQ47" s="319"/>
      <c r="FRR47" s="319"/>
      <c r="FRS47" s="319"/>
      <c r="FRT47" s="319"/>
      <c r="FRU47" s="319"/>
      <c r="FRV47" s="319"/>
      <c r="FRW47" s="319"/>
      <c r="FRX47" s="319"/>
      <c r="FRY47" s="319"/>
      <c r="FRZ47" s="319"/>
      <c r="FSA47" s="319"/>
      <c r="FSB47" s="319"/>
      <c r="FSC47" s="319"/>
      <c r="FSD47" s="319"/>
      <c r="FSE47" s="319"/>
      <c r="FSF47" s="319"/>
      <c r="FSG47" s="319"/>
      <c r="FSH47" s="319"/>
      <c r="FSI47" s="319"/>
      <c r="FSJ47" s="319"/>
      <c r="FSK47" s="319"/>
      <c r="FSL47" s="319"/>
      <c r="FSM47" s="319"/>
      <c r="FSN47" s="319"/>
      <c r="FSO47" s="319"/>
      <c r="FSP47" s="319"/>
      <c r="FSQ47" s="319"/>
      <c r="FSR47" s="319"/>
      <c r="FSS47" s="319"/>
      <c r="FST47" s="319"/>
      <c r="FSU47" s="319"/>
      <c r="FSV47" s="319"/>
      <c r="FSW47" s="319"/>
      <c r="FSX47" s="319"/>
      <c r="FSY47" s="319"/>
      <c r="FSZ47" s="319"/>
      <c r="FTA47" s="319"/>
      <c r="FTB47" s="319"/>
      <c r="FTC47" s="319"/>
      <c r="FTD47" s="319"/>
      <c r="FTE47" s="319"/>
      <c r="FTF47" s="319"/>
      <c r="FTG47" s="319"/>
      <c r="FTH47" s="319"/>
      <c r="FTI47" s="319"/>
      <c r="FTJ47" s="319"/>
      <c r="FTK47" s="319"/>
      <c r="FTL47" s="319"/>
      <c r="FTM47" s="319"/>
      <c r="FTN47" s="319"/>
      <c r="FTO47" s="319"/>
      <c r="FTP47" s="319"/>
      <c r="FTQ47" s="319"/>
      <c r="FTR47" s="319"/>
      <c r="FTS47" s="319"/>
      <c r="FTT47" s="319"/>
      <c r="FTU47" s="319"/>
      <c r="FTV47" s="319"/>
      <c r="FTW47" s="319"/>
      <c r="FTX47" s="319"/>
      <c r="FTY47" s="319"/>
      <c r="FTZ47" s="319"/>
      <c r="FUA47" s="319"/>
      <c r="FUB47" s="319"/>
      <c r="FUC47" s="319"/>
      <c r="FUD47" s="319"/>
      <c r="FUE47" s="319"/>
      <c r="FUF47" s="319"/>
      <c r="FUG47" s="319"/>
      <c r="FUH47" s="319"/>
      <c r="FUI47" s="319"/>
      <c r="FUJ47" s="319"/>
      <c r="FUK47" s="319"/>
      <c r="FUL47" s="319"/>
      <c r="FUM47" s="319"/>
      <c r="FUN47" s="319"/>
      <c r="FUO47" s="319"/>
      <c r="FUP47" s="319"/>
      <c r="FUQ47" s="319"/>
      <c r="FUR47" s="319"/>
      <c r="FUS47" s="319"/>
      <c r="FUT47" s="319"/>
      <c r="FUU47" s="319"/>
      <c r="FUV47" s="319"/>
      <c r="FUW47" s="319"/>
      <c r="FUX47" s="319"/>
      <c r="FUY47" s="319"/>
      <c r="FUZ47" s="319"/>
      <c r="FVA47" s="319"/>
      <c r="FVB47" s="319"/>
      <c r="FVC47" s="319"/>
      <c r="FVD47" s="319"/>
      <c r="FVE47" s="319"/>
      <c r="FVF47" s="319"/>
      <c r="FVG47" s="319"/>
      <c r="FVH47" s="319"/>
      <c r="FVI47" s="319"/>
      <c r="FVJ47" s="319"/>
      <c r="FVK47" s="319"/>
      <c r="FVL47" s="319"/>
      <c r="FVM47" s="319"/>
      <c r="FVN47" s="319"/>
      <c r="FVO47" s="319"/>
      <c r="FVP47" s="319"/>
      <c r="FVQ47" s="319"/>
      <c r="FVR47" s="319"/>
      <c r="FVS47" s="319"/>
      <c r="FVT47" s="319"/>
      <c r="FVU47" s="319"/>
      <c r="FVV47" s="319"/>
      <c r="FVW47" s="319"/>
      <c r="FVX47" s="319"/>
      <c r="FVY47" s="319"/>
      <c r="FVZ47" s="319"/>
      <c r="FWA47" s="319"/>
      <c r="FWB47" s="319"/>
      <c r="FWC47" s="319"/>
      <c r="FWD47" s="319"/>
      <c r="FWE47" s="319"/>
      <c r="FWF47" s="319"/>
      <c r="FWG47" s="319"/>
      <c r="FWH47" s="319"/>
      <c r="FWI47" s="319"/>
      <c r="FWJ47" s="319"/>
      <c r="FWK47" s="319"/>
      <c r="FWL47" s="319"/>
      <c r="FWM47" s="319"/>
      <c r="FWN47" s="319"/>
      <c r="FWO47" s="319"/>
      <c r="FWP47" s="319"/>
      <c r="FWQ47" s="319"/>
      <c r="FWR47" s="319"/>
      <c r="FWS47" s="319"/>
      <c r="FWT47" s="319"/>
      <c r="FWU47" s="319"/>
      <c r="FWV47" s="319"/>
      <c r="FWW47" s="319"/>
      <c r="FWX47" s="319"/>
      <c r="FWY47" s="319"/>
      <c r="FWZ47" s="319"/>
      <c r="FXA47" s="319"/>
      <c r="FXB47" s="319"/>
      <c r="FXC47" s="319"/>
      <c r="FXD47" s="319"/>
      <c r="FXE47" s="319"/>
      <c r="FXF47" s="319"/>
      <c r="FXG47" s="319"/>
      <c r="FXH47" s="319"/>
      <c r="FXI47" s="319"/>
      <c r="FXJ47" s="319"/>
      <c r="FXK47" s="319"/>
      <c r="FXL47" s="319"/>
      <c r="FXM47" s="319"/>
      <c r="FXN47" s="319"/>
      <c r="FXO47" s="319"/>
      <c r="FXP47" s="319"/>
      <c r="FXQ47" s="319"/>
      <c r="FXR47" s="319"/>
      <c r="FXS47" s="319"/>
      <c r="FXT47" s="319"/>
      <c r="FXU47" s="319"/>
      <c r="FXV47" s="319"/>
      <c r="FXW47" s="319"/>
      <c r="FXX47" s="319"/>
      <c r="FXY47" s="319"/>
      <c r="FXZ47" s="319"/>
      <c r="FYA47" s="319"/>
      <c r="FYB47" s="319"/>
      <c r="FYC47" s="319"/>
      <c r="FYD47" s="319"/>
      <c r="FYE47" s="319"/>
      <c r="FYF47" s="319"/>
      <c r="FYG47" s="319"/>
      <c r="FYH47" s="319"/>
      <c r="FYI47" s="319"/>
      <c r="FYJ47" s="319"/>
      <c r="FYK47" s="319"/>
      <c r="FYL47" s="319"/>
      <c r="FYM47" s="319"/>
      <c r="FYN47" s="319"/>
      <c r="FYO47" s="319"/>
      <c r="FYP47" s="319"/>
      <c r="FYQ47" s="319"/>
      <c r="FYR47" s="319"/>
      <c r="FYS47" s="319"/>
      <c r="FYT47" s="319"/>
      <c r="FYU47" s="319"/>
      <c r="FYV47" s="319"/>
      <c r="FYW47" s="319"/>
      <c r="FYX47" s="319"/>
      <c r="FYY47" s="319"/>
      <c r="FYZ47" s="319"/>
      <c r="FZA47" s="319"/>
      <c r="FZB47" s="319"/>
      <c r="FZC47" s="319"/>
      <c r="FZD47" s="319"/>
      <c r="FZE47" s="319"/>
      <c r="FZF47" s="319"/>
      <c r="FZG47" s="319"/>
      <c r="FZH47" s="319"/>
      <c r="FZI47" s="319"/>
      <c r="FZJ47" s="319"/>
      <c r="FZK47" s="319"/>
      <c r="FZL47" s="319"/>
      <c r="FZM47" s="319"/>
      <c r="FZN47" s="319"/>
      <c r="FZO47" s="319"/>
      <c r="FZP47" s="319"/>
      <c r="FZQ47" s="319"/>
      <c r="FZR47" s="319"/>
      <c r="FZS47" s="319"/>
      <c r="FZT47" s="319"/>
      <c r="FZU47" s="319"/>
      <c r="FZV47" s="319"/>
      <c r="FZW47" s="319"/>
      <c r="FZX47" s="319"/>
      <c r="FZY47" s="319"/>
      <c r="FZZ47" s="319"/>
      <c r="GAA47" s="319"/>
      <c r="GAB47" s="319"/>
      <c r="GAC47" s="319"/>
      <c r="GAD47" s="319"/>
      <c r="GAE47" s="319"/>
      <c r="GAF47" s="319"/>
      <c r="GAG47" s="319"/>
      <c r="GAH47" s="319"/>
      <c r="GAI47" s="319"/>
      <c r="GAJ47" s="319"/>
      <c r="GAK47" s="319"/>
      <c r="GAL47" s="319"/>
      <c r="GAM47" s="319"/>
      <c r="GAN47" s="319"/>
      <c r="GAO47" s="319"/>
      <c r="GAP47" s="319"/>
      <c r="GAQ47" s="319"/>
      <c r="GAR47" s="319"/>
      <c r="GAS47" s="319"/>
      <c r="GAT47" s="319"/>
      <c r="GAU47" s="319"/>
      <c r="GAV47" s="319"/>
      <c r="GAW47" s="319"/>
      <c r="GAX47" s="319"/>
      <c r="GAY47" s="319"/>
      <c r="GAZ47" s="319"/>
      <c r="GBA47" s="319"/>
      <c r="GBB47" s="319"/>
      <c r="GBC47" s="319"/>
      <c r="GBD47" s="319"/>
      <c r="GBE47" s="319"/>
      <c r="GBF47" s="319"/>
      <c r="GBG47" s="319"/>
      <c r="GBH47" s="319"/>
      <c r="GBI47" s="319"/>
      <c r="GBJ47" s="319"/>
      <c r="GBK47" s="319"/>
      <c r="GBL47" s="319"/>
      <c r="GBM47" s="319"/>
      <c r="GBN47" s="319"/>
      <c r="GBO47" s="319"/>
      <c r="GBP47" s="319"/>
      <c r="GBQ47" s="319"/>
      <c r="GBR47" s="319"/>
      <c r="GBS47" s="319"/>
      <c r="GBT47" s="319"/>
      <c r="GBU47" s="319"/>
      <c r="GBV47" s="319"/>
      <c r="GBW47" s="319"/>
      <c r="GBX47" s="319"/>
      <c r="GBY47" s="319"/>
      <c r="GBZ47" s="319"/>
      <c r="GCA47" s="319"/>
      <c r="GCB47" s="319"/>
      <c r="GCC47" s="319"/>
      <c r="GCD47" s="319"/>
      <c r="GCE47" s="319"/>
      <c r="GCF47" s="319"/>
      <c r="GCG47" s="319"/>
      <c r="GCH47" s="319"/>
      <c r="GCI47" s="319"/>
      <c r="GCJ47" s="319"/>
      <c r="GCK47" s="319"/>
      <c r="GCL47" s="319"/>
      <c r="GCM47" s="319"/>
      <c r="GCN47" s="319"/>
      <c r="GCO47" s="319"/>
      <c r="GCP47" s="319"/>
      <c r="GCQ47" s="319"/>
      <c r="GCR47" s="319"/>
      <c r="GCS47" s="319"/>
      <c r="GCT47" s="319"/>
      <c r="GCU47" s="319"/>
      <c r="GCV47" s="319"/>
      <c r="GCW47" s="319"/>
      <c r="GCX47" s="319"/>
      <c r="GCY47" s="319"/>
      <c r="GCZ47" s="319"/>
      <c r="GDA47" s="319"/>
      <c r="GDB47" s="319"/>
      <c r="GDC47" s="319"/>
      <c r="GDD47" s="319"/>
      <c r="GDE47" s="319"/>
      <c r="GDF47" s="319"/>
      <c r="GDG47" s="319"/>
      <c r="GDH47" s="319"/>
      <c r="GDI47" s="319"/>
      <c r="GDJ47" s="319"/>
      <c r="GDK47" s="319"/>
      <c r="GDL47" s="319"/>
      <c r="GDM47" s="319"/>
      <c r="GDN47" s="319"/>
      <c r="GDO47" s="319"/>
      <c r="GDP47" s="319"/>
      <c r="GDQ47" s="319"/>
      <c r="GDR47" s="319"/>
      <c r="GDS47" s="319"/>
      <c r="GDT47" s="319"/>
      <c r="GDU47" s="319"/>
      <c r="GDV47" s="319"/>
      <c r="GDW47" s="319"/>
      <c r="GDX47" s="319"/>
      <c r="GDY47" s="319"/>
      <c r="GDZ47" s="319"/>
      <c r="GEA47" s="319"/>
      <c r="GEB47" s="319"/>
      <c r="GEC47" s="319"/>
      <c r="GED47" s="319"/>
      <c r="GEE47" s="319"/>
      <c r="GEF47" s="319"/>
      <c r="GEG47" s="319"/>
      <c r="GEH47" s="319"/>
      <c r="GEI47" s="319"/>
      <c r="GEJ47" s="319"/>
      <c r="GEK47" s="319"/>
      <c r="GEL47" s="319"/>
      <c r="GEM47" s="319"/>
      <c r="GEN47" s="319"/>
      <c r="GEO47" s="319"/>
      <c r="GEP47" s="319"/>
      <c r="GEQ47" s="319"/>
      <c r="GER47" s="319"/>
      <c r="GES47" s="319"/>
      <c r="GET47" s="319"/>
      <c r="GEU47" s="319"/>
      <c r="GEV47" s="319"/>
      <c r="GEW47" s="319"/>
      <c r="GEX47" s="319"/>
      <c r="GEY47" s="319"/>
      <c r="GEZ47" s="319"/>
      <c r="GFA47" s="319"/>
      <c r="GFB47" s="319"/>
      <c r="GFC47" s="319"/>
      <c r="GFD47" s="319"/>
      <c r="GFE47" s="319"/>
      <c r="GFF47" s="319"/>
      <c r="GFG47" s="319"/>
      <c r="GFH47" s="319"/>
      <c r="GFI47" s="319"/>
      <c r="GFJ47" s="319"/>
      <c r="GFK47" s="319"/>
      <c r="GFL47" s="319"/>
      <c r="GFM47" s="319"/>
      <c r="GFN47" s="319"/>
      <c r="GFO47" s="319"/>
      <c r="GFP47" s="319"/>
      <c r="GFQ47" s="319"/>
      <c r="GFR47" s="319"/>
      <c r="GFS47" s="319"/>
      <c r="GFT47" s="319"/>
      <c r="GFU47" s="319"/>
      <c r="GFV47" s="319"/>
      <c r="GFW47" s="319"/>
      <c r="GFX47" s="319"/>
      <c r="GFY47" s="319"/>
      <c r="GFZ47" s="319"/>
      <c r="GGA47" s="319"/>
      <c r="GGB47" s="319"/>
      <c r="GGC47" s="319"/>
      <c r="GGD47" s="319"/>
      <c r="GGE47" s="319"/>
      <c r="GGF47" s="319"/>
      <c r="GGG47" s="319"/>
      <c r="GGH47" s="319"/>
      <c r="GGI47" s="319"/>
      <c r="GGJ47" s="319"/>
      <c r="GGK47" s="319"/>
      <c r="GGL47" s="319"/>
      <c r="GGM47" s="319"/>
      <c r="GGN47" s="319"/>
      <c r="GGO47" s="319"/>
      <c r="GGP47" s="319"/>
      <c r="GGQ47" s="319"/>
      <c r="GGR47" s="319"/>
      <c r="GGS47" s="319"/>
      <c r="GGT47" s="319"/>
      <c r="GGU47" s="319"/>
      <c r="GGV47" s="319"/>
      <c r="GGW47" s="319"/>
      <c r="GGX47" s="319"/>
      <c r="GGY47" s="319"/>
      <c r="GGZ47" s="319"/>
      <c r="GHA47" s="319"/>
      <c r="GHB47" s="319"/>
      <c r="GHC47" s="319"/>
      <c r="GHD47" s="319"/>
      <c r="GHE47" s="319"/>
      <c r="GHF47" s="319"/>
      <c r="GHG47" s="319"/>
      <c r="GHH47" s="319"/>
      <c r="GHI47" s="319"/>
      <c r="GHJ47" s="319"/>
      <c r="GHK47" s="319"/>
      <c r="GHL47" s="319"/>
      <c r="GHM47" s="319"/>
      <c r="GHN47" s="319"/>
      <c r="GHO47" s="319"/>
      <c r="GHP47" s="319"/>
      <c r="GHQ47" s="319"/>
      <c r="GHR47" s="319"/>
      <c r="GHS47" s="319"/>
      <c r="GHT47" s="319"/>
      <c r="GHU47" s="319"/>
      <c r="GHV47" s="319"/>
      <c r="GHW47" s="319"/>
      <c r="GHX47" s="319"/>
      <c r="GHY47" s="319"/>
      <c r="GHZ47" s="319"/>
      <c r="GIA47" s="319"/>
      <c r="GIB47" s="319"/>
      <c r="GIC47" s="319"/>
      <c r="GID47" s="319"/>
      <c r="GIE47" s="319"/>
      <c r="GIF47" s="319"/>
      <c r="GIG47" s="319"/>
      <c r="GIH47" s="319"/>
      <c r="GII47" s="319"/>
      <c r="GIJ47" s="319"/>
      <c r="GIK47" s="319"/>
      <c r="GIL47" s="319"/>
      <c r="GIM47" s="319"/>
      <c r="GIN47" s="319"/>
      <c r="GIO47" s="319"/>
      <c r="GIP47" s="319"/>
      <c r="GIQ47" s="319"/>
      <c r="GIR47" s="319"/>
      <c r="GIS47" s="319"/>
      <c r="GIT47" s="319"/>
      <c r="GIU47" s="319"/>
      <c r="GIV47" s="319"/>
      <c r="GIW47" s="319"/>
      <c r="GIX47" s="319"/>
      <c r="GIY47" s="319"/>
      <c r="GIZ47" s="319"/>
      <c r="GJA47" s="319"/>
      <c r="GJB47" s="319"/>
      <c r="GJC47" s="319"/>
      <c r="GJD47" s="319"/>
      <c r="GJE47" s="319"/>
      <c r="GJF47" s="319"/>
      <c r="GJG47" s="319"/>
      <c r="GJH47" s="319"/>
      <c r="GJI47" s="319"/>
      <c r="GJJ47" s="319"/>
      <c r="GJK47" s="319"/>
      <c r="GJL47" s="319"/>
      <c r="GJM47" s="319"/>
      <c r="GJN47" s="319"/>
      <c r="GJO47" s="319"/>
      <c r="GJP47" s="319"/>
      <c r="GJQ47" s="319"/>
      <c r="GJR47" s="319"/>
      <c r="GJS47" s="319"/>
      <c r="GJT47" s="319"/>
      <c r="GJU47" s="319"/>
      <c r="GJV47" s="319"/>
      <c r="GJW47" s="319"/>
      <c r="GJX47" s="319"/>
      <c r="GJY47" s="319"/>
      <c r="GJZ47" s="319"/>
      <c r="GKA47" s="319"/>
      <c r="GKB47" s="319"/>
      <c r="GKC47" s="319"/>
      <c r="GKD47" s="319"/>
      <c r="GKE47" s="319"/>
      <c r="GKF47" s="319"/>
      <c r="GKG47" s="319"/>
      <c r="GKH47" s="319"/>
      <c r="GKI47" s="319"/>
      <c r="GKJ47" s="319"/>
      <c r="GKK47" s="319"/>
      <c r="GKL47" s="319"/>
      <c r="GKM47" s="319"/>
      <c r="GKN47" s="319"/>
      <c r="GKO47" s="319"/>
      <c r="GKP47" s="319"/>
      <c r="GKQ47" s="319"/>
      <c r="GKR47" s="319"/>
      <c r="GKS47" s="319"/>
      <c r="GKT47" s="319"/>
      <c r="GKU47" s="319"/>
      <c r="GKV47" s="319"/>
      <c r="GKW47" s="319"/>
      <c r="GKX47" s="319"/>
      <c r="GKY47" s="319"/>
      <c r="GKZ47" s="319"/>
      <c r="GLA47" s="319"/>
      <c r="GLB47" s="319"/>
      <c r="GLC47" s="319"/>
      <c r="GLD47" s="319"/>
      <c r="GLE47" s="319"/>
      <c r="GLF47" s="319"/>
      <c r="GLG47" s="319"/>
      <c r="GLH47" s="319"/>
      <c r="GLI47" s="319"/>
      <c r="GLJ47" s="319"/>
      <c r="GLK47" s="319"/>
      <c r="GLL47" s="319"/>
      <c r="GLM47" s="319"/>
      <c r="GLN47" s="319"/>
      <c r="GLO47" s="319"/>
      <c r="GLP47" s="319"/>
      <c r="GLQ47" s="319"/>
      <c r="GLR47" s="319"/>
      <c r="GLS47" s="319"/>
      <c r="GLT47" s="319"/>
      <c r="GLU47" s="319"/>
      <c r="GLV47" s="319"/>
      <c r="GLW47" s="319"/>
      <c r="GLX47" s="319"/>
      <c r="GLY47" s="319"/>
      <c r="GLZ47" s="319"/>
      <c r="GMA47" s="319"/>
      <c r="GMB47" s="319"/>
      <c r="GMC47" s="319"/>
      <c r="GMD47" s="319"/>
      <c r="GME47" s="319"/>
      <c r="GMF47" s="319"/>
      <c r="GMG47" s="319"/>
      <c r="GMH47" s="319"/>
      <c r="GMI47" s="319"/>
      <c r="GMJ47" s="319"/>
      <c r="GMK47" s="319"/>
      <c r="GML47" s="319"/>
      <c r="GMM47" s="319"/>
      <c r="GMN47" s="319"/>
      <c r="GMO47" s="319"/>
      <c r="GMP47" s="319"/>
      <c r="GMQ47" s="319"/>
      <c r="GMR47" s="319"/>
      <c r="GMS47" s="319"/>
      <c r="GMT47" s="319"/>
      <c r="GMU47" s="319"/>
      <c r="GMV47" s="319"/>
      <c r="GMW47" s="319"/>
      <c r="GMX47" s="319"/>
      <c r="GMY47" s="319"/>
      <c r="GMZ47" s="319"/>
      <c r="GNA47" s="319"/>
      <c r="GNB47" s="319"/>
      <c r="GNC47" s="319"/>
      <c r="GND47" s="319"/>
      <c r="GNE47" s="319"/>
      <c r="GNF47" s="319"/>
      <c r="GNG47" s="319"/>
      <c r="GNH47" s="319"/>
      <c r="GNI47" s="319"/>
      <c r="GNJ47" s="319"/>
      <c r="GNK47" s="319"/>
      <c r="GNL47" s="319"/>
      <c r="GNM47" s="319"/>
      <c r="GNN47" s="319"/>
      <c r="GNO47" s="319"/>
      <c r="GNP47" s="319"/>
      <c r="GNQ47" s="319"/>
      <c r="GNR47" s="319"/>
      <c r="GNS47" s="319"/>
      <c r="GNT47" s="319"/>
      <c r="GNU47" s="319"/>
      <c r="GNV47" s="319"/>
      <c r="GNW47" s="319"/>
      <c r="GNX47" s="319"/>
      <c r="GNY47" s="319"/>
      <c r="GNZ47" s="319"/>
      <c r="GOA47" s="319"/>
      <c r="GOB47" s="319"/>
      <c r="GOC47" s="319"/>
      <c r="GOD47" s="319"/>
      <c r="GOE47" s="319"/>
      <c r="GOF47" s="319"/>
      <c r="GOG47" s="319"/>
      <c r="GOH47" s="319"/>
      <c r="GOI47" s="319"/>
      <c r="GOJ47" s="319"/>
      <c r="GOK47" s="319"/>
      <c r="GOL47" s="319"/>
      <c r="GOM47" s="319"/>
      <c r="GON47" s="319"/>
      <c r="GOO47" s="319"/>
      <c r="GOP47" s="319"/>
      <c r="GOQ47" s="319"/>
      <c r="GOR47" s="319"/>
      <c r="GOS47" s="319"/>
      <c r="GOT47" s="319"/>
      <c r="GOU47" s="319"/>
      <c r="GOV47" s="319"/>
      <c r="GOW47" s="319"/>
      <c r="GOX47" s="319"/>
      <c r="GOY47" s="319"/>
      <c r="GOZ47" s="319"/>
      <c r="GPA47" s="319"/>
      <c r="GPB47" s="319"/>
      <c r="GPC47" s="319"/>
      <c r="GPD47" s="319"/>
      <c r="GPE47" s="319"/>
      <c r="GPF47" s="319"/>
      <c r="GPG47" s="319"/>
      <c r="GPH47" s="319"/>
      <c r="GPI47" s="319"/>
      <c r="GPJ47" s="319"/>
      <c r="GPK47" s="319"/>
      <c r="GPL47" s="319"/>
      <c r="GPM47" s="319"/>
      <c r="GPN47" s="319"/>
      <c r="GPO47" s="319"/>
      <c r="GPP47" s="319"/>
      <c r="GPQ47" s="319"/>
      <c r="GPR47" s="319"/>
      <c r="GPS47" s="319"/>
      <c r="GPT47" s="319"/>
      <c r="GPU47" s="319"/>
      <c r="GPV47" s="319"/>
      <c r="GPW47" s="319"/>
      <c r="GPX47" s="319"/>
      <c r="GPY47" s="319"/>
      <c r="GPZ47" s="319"/>
      <c r="GQA47" s="319"/>
      <c r="GQB47" s="319"/>
      <c r="GQC47" s="319"/>
      <c r="GQD47" s="319"/>
      <c r="GQE47" s="319"/>
      <c r="GQF47" s="319"/>
      <c r="GQG47" s="319"/>
      <c r="GQH47" s="319"/>
      <c r="GQI47" s="319"/>
      <c r="GQJ47" s="319"/>
      <c r="GQK47" s="319"/>
      <c r="GQL47" s="319"/>
      <c r="GQM47" s="319"/>
      <c r="GQN47" s="319"/>
      <c r="GQO47" s="319"/>
      <c r="GQP47" s="319"/>
      <c r="GQQ47" s="319"/>
      <c r="GQR47" s="319"/>
      <c r="GQS47" s="319"/>
      <c r="GQT47" s="319"/>
      <c r="GQU47" s="319"/>
      <c r="GQV47" s="319"/>
      <c r="GQW47" s="319"/>
      <c r="GQX47" s="319"/>
      <c r="GQY47" s="319"/>
      <c r="GQZ47" s="319"/>
      <c r="GRA47" s="319"/>
      <c r="GRB47" s="319"/>
      <c r="GRC47" s="319"/>
      <c r="GRD47" s="319"/>
      <c r="GRE47" s="319"/>
      <c r="GRF47" s="319"/>
      <c r="GRG47" s="319"/>
      <c r="GRH47" s="319"/>
      <c r="GRI47" s="319"/>
      <c r="GRJ47" s="319"/>
      <c r="GRK47" s="319"/>
      <c r="GRL47" s="319"/>
      <c r="GRM47" s="319"/>
      <c r="GRN47" s="319"/>
      <c r="GRO47" s="319"/>
      <c r="GRP47" s="319"/>
      <c r="GRQ47" s="319"/>
      <c r="GRR47" s="319"/>
      <c r="GRS47" s="319"/>
      <c r="GRT47" s="319"/>
      <c r="GRU47" s="319"/>
      <c r="GRV47" s="319"/>
      <c r="GRW47" s="319"/>
      <c r="GRX47" s="319"/>
      <c r="GRY47" s="319"/>
      <c r="GRZ47" s="319"/>
      <c r="GSA47" s="319"/>
      <c r="GSB47" s="319"/>
      <c r="GSC47" s="319"/>
      <c r="GSD47" s="319"/>
      <c r="GSE47" s="319"/>
      <c r="GSF47" s="319"/>
      <c r="GSG47" s="319"/>
      <c r="GSH47" s="319"/>
      <c r="GSI47" s="319"/>
      <c r="GSJ47" s="319"/>
      <c r="GSK47" s="319"/>
      <c r="GSL47" s="319"/>
      <c r="GSM47" s="319"/>
      <c r="GSN47" s="319"/>
      <c r="GSO47" s="319"/>
      <c r="GSP47" s="319"/>
      <c r="GSQ47" s="319"/>
      <c r="GSR47" s="319"/>
      <c r="GSS47" s="319"/>
      <c r="GST47" s="319"/>
      <c r="GSU47" s="319"/>
      <c r="GSV47" s="319"/>
      <c r="GSW47" s="319"/>
      <c r="GSX47" s="319"/>
      <c r="GSY47" s="319"/>
      <c r="GSZ47" s="319"/>
      <c r="GTA47" s="319"/>
      <c r="GTB47" s="319"/>
      <c r="GTC47" s="319"/>
      <c r="GTD47" s="319"/>
      <c r="GTE47" s="319"/>
      <c r="GTF47" s="319"/>
      <c r="GTG47" s="319"/>
      <c r="GTH47" s="319"/>
      <c r="GTI47" s="319"/>
      <c r="GTJ47" s="319"/>
      <c r="GTK47" s="319"/>
      <c r="GTL47" s="319"/>
      <c r="GTM47" s="319"/>
      <c r="GTN47" s="319"/>
      <c r="GTO47" s="319"/>
      <c r="GTP47" s="319"/>
      <c r="GTQ47" s="319"/>
      <c r="GTR47" s="319"/>
      <c r="GTS47" s="319"/>
      <c r="GTT47" s="319"/>
      <c r="GTU47" s="319"/>
      <c r="GTV47" s="319"/>
      <c r="GTW47" s="319"/>
      <c r="GTX47" s="319"/>
      <c r="GTY47" s="319"/>
      <c r="GTZ47" s="319"/>
      <c r="GUA47" s="319"/>
      <c r="GUB47" s="319"/>
      <c r="GUC47" s="319"/>
      <c r="GUD47" s="319"/>
      <c r="GUE47" s="319"/>
      <c r="GUF47" s="319"/>
      <c r="GUG47" s="319"/>
      <c r="GUH47" s="319"/>
      <c r="GUI47" s="319"/>
      <c r="GUJ47" s="319"/>
      <c r="GUK47" s="319"/>
      <c r="GUL47" s="319"/>
      <c r="GUM47" s="319"/>
      <c r="GUN47" s="319"/>
      <c r="GUO47" s="319"/>
      <c r="GUP47" s="319"/>
      <c r="GUQ47" s="319"/>
      <c r="GUR47" s="319"/>
      <c r="GUS47" s="319"/>
      <c r="GUT47" s="319"/>
      <c r="GUU47" s="319"/>
      <c r="GUV47" s="319"/>
      <c r="GUW47" s="319"/>
      <c r="GUX47" s="319"/>
      <c r="GUY47" s="319"/>
      <c r="GUZ47" s="319"/>
      <c r="GVA47" s="319"/>
      <c r="GVB47" s="319"/>
      <c r="GVC47" s="319"/>
      <c r="GVD47" s="319"/>
      <c r="GVE47" s="319"/>
      <c r="GVF47" s="319"/>
      <c r="GVG47" s="319"/>
      <c r="GVH47" s="319"/>
      <c r="GVI47" s="319"/>
      <c r="GVJ47" s="319"/>
      <c r="GVK47" s="319"/>
      <c r="GVL47" s="319"/>
      <c r="GVM47" s="319"/>
      <c r="GVN47" s="319"/>
      <c r="GVO47" s="319"/>
      <c r="GVP47" s="319"/>
      <c r="GVQ47" s="319"/>
      <c r="GVR47" s="319"/>
      <c r="GVS47" s="319"/>
      <c r="GVT47" s="319"/>
      <c r="GVU47" s="319"/>
      <c r="GVV47" s="319"/>
      <c r="GVW47" s="319"/>
      <c r="GVX47" s="319"/>
      <c r="GVY47" s="319"/>
      <c r="GVZ47" s="319"/>
      <c r="GWA47" s="319"/>
      <c r="GWB47" s="319"/>
      <c r="GWC47" s="319"/>
      <c r="GWD47" s="319"/>
      <c r="GWE47" s="319"/>
      <c r="GWF47" s="319"/>
      <c r="GWG47" s="319"/>
      <c r="GWH47" s="319"/>
      <c r="GWI47" s="319"/>
      <c r="GWJ47" s="319"/>
      <c r="GWK47" s="319"/>
      <c r="GWL47" s="319"/>
      <c r="GWM47" s="319"/>
      <c r="GWN47" s="319"/>
      <c r="GWO47" s="319"/>
      <c r="GWP47" s="319"/>
      <c r="GWQ47" s="319"/>
      <c r="GWR47" s="319"/>
      <c r="GWS47" s="319"/>
      <c r="GWT47" s="319"/>
      <c r="GWU47" s="319"/>
      <c r="GWV47" s="319"/>
      <c r="GWW47" s="319"/>
      <c r="GWX47" s="319"/>
      <c r="GWY47" s="319"/>
      <c r="GWZ47" s="319"/>
      <c r="GXA47" s="319"/>
      <c r="GXB47" s="319"/>
      <c r="GXC47" s="319"/>
      <c r="GXD47" s="319"/>
      <c r="GXE47" s="319"/>
      <c r="GXF47" s="319"/>
      <c r="GXG47" s="319"/>
      <c r="GXH47" s="319"/>
      <c r="GXI47" s="319"/>
      <c r="GXJ47" s="319"/>
      <c r="GXK47" s="319"/>
      <c r="GXL47" s="319"/>
      <c r="GXM47" s="319"/>
      <c r="GXN47" s="319"/>
      <c r="GXO47" s="319"/>
      <c r="GXP47" s="319"/>
      <c r="GXQ47" s="319"/>
      <c r="GXR47" s="319"/>
      <c r="GXS47" s="319"/>
      <c r="GXT47" s="319"/>
      <c r="GXU47" s="319"/>
      <c r="GXV47" s="319"/>
      <c r="GXW47" s="319"/>
      <c r="GXX47" s="319"/>
      <c r="GXY47" s="319"/>
      <c r="GXZ47" s="319"/>
      <c r="GYA47" s="319"/>
      <c r="GYB47" s="319"/>
      <c r="GYC47" s="319"/>
      <c r="GYD47" s="319"/>
      <c r="GYE47" s="319"/>
      <c r="GYF47" s="319"/>
      <c r="GYG47" s="319"/>
      <c r="GYH47" s="319"/>
      <c r="GYI47" s="319"/>
      <c r="GYJ47" s="319"/>
      <c r="GYK47" s="319"/>
      <c r="GYL47" s="319"/>
      <c r="GYM47" s="319"/>
      <c r="GYN47" s="319"/>
      <c r="GYO47" s="319"/>
      <c r="GYP47" s="319"/>
      <c r="GYQ47" s="319"/>
      <c r="GYR47" s="319"/>
      <c r="GYS47" s="319"/>
      <c r="GYT47" s="319"/>
      <c r="GYU47" s="319"/>
      <c r="GYV47" s="319"/>
      <c r="GYW47" s="319"/>
      <c r="GYX47" s="319"/>
      <c r="GYY47" s="319"/>
      <c r="GYZ47" s="319"/>
      <c r="GZA47" s="319"/>
      <c r="GZB47" s="319"/>
      <c r="GZC47" s="319"/>
      <c r="GZD47" s="319"/>
      <c r="GZE47" s="319"/>
      <c r="GZF47" s="319"/>
      <c r="GZG47" s="319"/>
      <c r="GZH47" s="319"/>
      <c r="GZI47" s="319"/>
      <c r="GZJ47" s="319"/>
      <c r="GZK47" s="319"/>
      <c r="GZL47" s="319"/>
      <c r="GZM47" s="319"/>
      <c r="GZN47" s="319"/>
      <c r="GZO47" s="319"/>
      <c r="GZP47" s="319"/>
      <c r="GZQ47" s="319"/>
      <c r="GZR47" s="319"/>
      <c r="GZS47" s="319"/>
      <c r="GZT47" s="319"/>
      <c r="GZU47" s="319"/>
      <c r="GZV47" s="319"/>
      <c r="GZW47" s="319"/>
      <c r="GZX47" s="319"/>
      <c r="GZY47" s="319"/>
      <c r="GZZ47" s="319"/>
      <c r="HAA47" s="319"/>
      <c r="HAB47" s="319"/>
      <c r="HAC47" s="319"/>
      <c r="HAD47" s="319"/>
      <c r="HAE47" s="319"/>
      <c r="HAF47" s="319"/>
      <c r="HAG47" s="319"/>
      <c r="HAH47" s="319"/>
      <c r="HAI47" s="319"/>
      <c r="HAJ47" s="319"/>
      <c r="HAK47" s="319"/>
      <c r="HAL47" s="319"/>
      <c r="HAM47" s="319"/>
      <c r="HAN47" s="319"/>
      <c r="HAO47" s="319"/>
      <c r="HAP47" s="319"/>
      <c r="HAQ47" s="319"/>
      <c r="HAR47" s="319"/>
      <c r="HAS47" s="319"/>
      <c r="HAT47" s="319"/>
      <c r="HAU47" s="319"/>
      <c r="HAV47" s="319"/>
      <c r="HAW47" s="319"/>
      <c r="HAX47" s="319"/>
      <c r="HAY47" s="319"/>
      <c r="HAZ47" s="319"/>
      <c r="HBA47" s="319"/>
      <c r="HBB47" s="319"/>
      <c r="HBC47" s="319"/>
      <c r="HBD47" s="319"/>
      <c r="HBE47" s="319"/>
      <c r="HBF47" s="319"/>
      <c r="HBG47" s="319"/>
      <c r="HBH47" s="319"/>
      <c r="HBI47" s="319"/>
      <c r="HBJ47" s="319"/>
      <c r="HBK47" s="319"/>
      <c r="HBL47" s="319"/>
      <c r="HBM47" s="319"/>
      <c r="HBN47" s="319"/>
      <c r="HBO47" s="319"/>
      <c r="HBP47" s="319"/>
      <c r="HBQ47" s="319"/>
      <c r="HBR47" s="319"/>
      <c r="HBS47" s="319"/>
      <c r="HBT47" s="319"/>
      <c r="HBU47" s="319"/>
      <c r="HBV47" s="319"/>
      <c r="HBW47" s="319"/>
      <c r="HBX47" s="319"/>
      <c r="HBY47" s="319"/>
      <c r="HBZ47" s="319"/>
      <c r="HCA47" s="319"/>
      <c r="HCB47" s="319"/>
      <c r="HCC47" s="319"/>
      <c r="HCD47" s="319"/>
      <c r="HCE47" s="319"/>
      <c r="HCF47" s="319"/>
      <c r="HCG47" s="319"/>
      <c r="HCH47" s="319"/>
      <c r="HCI47" s="319"/>
      <c r="HCJ47" s="319"/>
      <c r="HCK47" s="319"/>
      <c r="HCL47" s="319"/>
      <c r="HCM47" s="319"/>
      <c r="HCN47" s="319"/>
      <c r="HCO47" s="319"/>
      <c r="HCP47" s="319"/>
      <c r="HCQ47" s="319"/>
      <c r="HCR47" s="319"/>
      <c r="HCS47" s="319"/>
      <c r="HCT47" s="319"/>
      <c r="HCU47" s="319"/>
      <c r="HCV47" s="319"/>
      <c r="HCW47" s="319"/>
      <c r="HCX47" s="319"/>
      <c r="HCY47" s="319"/>
      <c r="HCZ47" s="319"/>
      <c r="HDA47" s="319"/>
      <c r="HDB47" s="319"/>
      <c r="HDC47" s="319"/>
      <c r="HDD47" s="319"/>
      <c r="HDE47" s="319"/>
      <c r="HDF47" s="319"/>
      <c r="HDG47" s="319"/>
      <c r="HDH47" s="319"/>
      <c r="HDI47" s="319"/>
      <c r="HDJ47" s="319"/>
      <c r="HDK47" s="319"/>
      <c r="HDL47" s="319"/>
      <c r="HDM47" s="319"/>
      <c r="HDN47" s="319"/>
      <c r="HDO47" s="319"/>
      <c r="HDP47" s="319"/>
      <c r="HDQ47" s="319"/>
      <c r="HDR47" s="319"/>
      <c r="HDS47" s="319"/>
      <c r="HDT47" s="319"/>
      <c r="HDU47" s="319"/>
      <c r="HDV47" s="319"/>
      <c r="HDW47" s="319"/>
      <c r="HDX47" s="319"/>
      <c r="HDY47" s="319"/>
      <c r="HDZ47" s="319"/>
      <c r="HEA47" s="319"/>
      <c r="HEB47" s="319"/>
      <c r="HEC47" s="319"/>
      <c r="HED47" s="319"/>
      <c r="HEE47" s="319"/>
      <c r="HEF47" s="319"/>
      <c r="HEG47" s="319"/>
      <c r="HEH47" s="319"/>
      <c r="HEI47" s="319"/>
      <c r="HEJ47" s="319"/>
      <c r="HEK47" s="319"/>
      <c r="HEL47" s="319"/>
      <c r="HEM47" s="319"/>
      <c r="HEN47" s="319"/>
      <c r="HEO47" s="319"/>
      <c r="HEP47" s="319"/>
      <c r="HEQ47" s="319"/>
      <c r="HER47" s="319"/>
      <c r="HES47" s="319"/>
      <c r="HET47" s="319"/>
      <c r="HEU47" s="319"/>
      <c r="HEV47" s="319"/>
      <c r="HEW47" s="319"/>
      <c r="HEX47" s="319"/>
      <c r="HEY47" s="319"/>
      <c r="HEZ47" s="319"/>
      <c r="HFA47" s="319"/>
      <c r="HFB47" s="319"/>
      <c r="HFC47" s="319"/>
      <c r="HFD47" s="319"/>
      <c r="HFE47" s="319"/>
      <c r="HFF47" s="319"/>
      <c r="HFG47" s="319"/>
      <c r="HFH47" s="319"/>
      <c r="HFI47" s="319"/>
      <c r="HFJ47" s="319"/>
      <c r="HFK47" s="319"/>
      <c r="HFL47" s="319"/>
      <c r="HFM47" s="319"/>
      <c r="HFN47" s="319"/>
      <c r="HFO47" s="319"/>
      <c r="HFP47" s="319"/>
      <c r="HFQ47" s="319"/>
      <c r="HFR47" s="319"/>
      <c r="HFS47" s="319"/>
      <c r="HFT47" s="319"/>
      <c r="HFU47" s="319"/>
      <c r="HFV47" s="319"/>
      <c r="HFW47" s="319"/>
      <c r="HFX47" s="319"/>
      <c r="HFY47" s="319"/>
      <c r="HFZ47" s="319"/>
      <c r="HGA47" s="319"/>
      <c r="HGB47" s="319"/>
      <c r="HGC47" s="319"/>
      <c r="HGD47" s="319"/>
      <c r="HGE47" s="319"/>
      <c r="HGF47" s="319"/>
      <c r="HGG47" s="319"/>
      <c r="HGH47" s="319"/>
      <c r="HGI47" s="319"/>
      <c r="HGJ47" s="319"/>
      <c r="HGK47" s="319"/>
      <c r="HGL47" s="319"/>
      <c r="HGM47" s="319"/>
      <c r="HGN47" s="319"/>
      <c r="HGO47" s="319"/>
      <c r="HGP47" s="319"/>
      <c r="HGQ47" s="319"/>
      <c r="HGR47" s="319"/>
      <c r="HGS47" s="319"/>
      <c r="HGT47" s="319"/>
      <c r="HGU47" s="319"/>
      <c r="HGV47" s="319"/>
      <c r="HGW47" s="319"/>
      <c r="HGX47" s="319"/>
      <c r="HGY47" s="319"/>
      <c r="HGZ47" s="319"/>
      <c r="HHA47" s="319"/>
      <c r="HHB47" s="319"/>
      <c r="HHC47" s="319"/>
      <c r="HHD47" s="319"/>
      <c r="HHE47" s="319"/>
      <c r="HHF47" s="319"/>
      <c r="HHG47" s="319"/>
      <c r="HHH47" s="319"/>
      <c r="HHI47" s="319"/>
      <c r="HHJ47" s="319"/>
      <c r="HHK47" s="319"/>
      <c r="HHL47" s="319"/>
      <c r="HHM47" s="319"/>
      <c r="HHN47" s="319"/>
      <c r="HHO47" s="319"/>
      <c r="HHP47" s="319"/>
      <c r="HHQ47" s="319"/>
      <c r="HHR47" s="319"/>
      <c r="HHS47" s="319"/>
      <c r="HHT47" s="319"/>
      <c r="HHU47" s="319"/>
      <c r="HHV47" s="319"/>
      <c r="HHW47" s="319"/>
      <c r="HHX47" s="319"/>
      <c r="HHY47" s="319"/>
      <c r="HHZ47" s="319"/>
      <c r="HIA47" s="319"/>
      <c r="HIB47" s="319"/>
      <c r="HIC47" s="319"/>
      <c r="HID47" s="319"/>
      <c r="HIE47" s="319"/>
      <c r="HIF47" s="319"/>
      <c r="HIG47" s="319"/>
      <c r="HIH47" s="319"/>
      <c r="HII47" s="319"/>
      <c r="HIJ47" s="319"/>
      <c r="HIK47" s="319"/>
      <c r="HIL47" s="319"/>
      <c r="HIM47" s="319"/>
      <c r="HIN47" s="319"/>
      <c r="HIO47" s="319"/>
      <c r="HIP47" s="319"/>
      <c r="HIQ47" s="319"/>
      <c r="HIR47" s="319"/>
      <c r="HIS47" s="319"/>
      <c r="HIT47" s="319"/>
      <c r="HIU47" s="319"/>
      <c r="HIV47" s="319"/>
      <c r="HIW47" s="319"/>
      <c r="HIX47" s="319"/>
      <c r="HIY47" s="319"/>
      <c r="HIZ47" s="319"/>
      <c r="HJA47" s="319"/>
      <c r="HJB47" s="319"/>
      <c r="HJC47" s="319"/>
      <c r="HJD47" s="319"/>
      <c r="HJE47" s="319"/>
      <c r="HJF47" s="319"/>
      <c r="HJG47" s="319"/>
      <c r="HJH47" s="319"/>
      <c r="HJI47" s="319"/>
      <c r="HJJ47" s="319"/>
      <c r="HJK47" s="319"/>
      <c r="HJL47" s="319"/>
      <c r="HJM47" s="319"/>
      <c r="HJN47" s="319"/>
      <c r="HJO47" s="319"/>
      <c r="HJP47" s="319"/>
      <c r="HJQ47" s="319"/>
      <c r="HJR47" s="319"/>
      <c r="HJS47" s="319"/>
      <c r="HJT47" s="319"/>
      <c r="HJU47" s="319"/>
      <c r="HJV47" s="319"/>
      <c r="HJW47" s="319"/>
      <c r="HJX47" s="319"/>
      <c r="HJY47" s="319"/>
      <c r="HJZ47" s="319"/>
      <c r="HKA47" s="319"/>
      <c r="HKB47" s="319"/>
      <c r="HKC47" s="319"/>
      <c r="HKD47" s="319"/>
      <c r="HKE47" s="319"/>
      <c r="HKF47" s="319"/>
      <c r="HKG47" s="319"/>
      <c r="HKH47" s="319"/>
      <c r="HKI47" s="319"/>
      <c r="HKJ47" s="319"/>
      <c r="HKK47" s="319"/>
      <c r="HKL47" s="319"/>
      <c r="HKM47" s="319"/>
      <c r="HKN47" s="319"/>
      <c r="HKO47" s="319"/>
      <c r="HKP47" s="319"/>
      <c r="HKQ47" s="319"/>
      <c r="HKR47" s="319"/>
      <c r="HKS47" s="319"/>
      <c r="HKT47" s="319"/>
      <c r="HKU47" s="319"/>
      <c r="HKV47" s="319"/>
      <c r="HKW47" s="319"/>
      <c r="HKX47" s="319"/>
      <c r="HKY47" s="319"/>
      <c r="HKZ47" s="319"/>
      <c r="HLA47" s="319"/>
      <c r="HLB47" s="319"/>
      <c r="HLC47" s="319"/>
      <c r="HLD47" s="319"/>
      <c r="HLE47" s="319"/>
      <c r="HLF47" s="319"/>
      <c r="HLG47" s="319"/>
      <c r="HLH47" s="319"/>
      <c r="HLI47" s="319"/>
      <c r="HLJ47" s="319"/>
      <c r="HLK47" s="319"/>
      <c r="HLL47" s="319"/>
      <c r="HLM47" s="319"/>
      <c r="HLN47" s="319"/>
      <c r="HLO47" s="319"/>
      <c r="HLP47" s="319"/>
      <c r="HLQ47" s="319"/>
      <c r="HLR47" s="319"/>
      <c r="HLS47" s="319"/>
      <c r="HLT47" s="319"/>
      <c r="HLU47" s="319"/>
      <c r="HLV47" s="319"/>
      <c r="HLW47" s="319"/>
      <c r="HLX47" s="319"/>
      <c r="HLY47" s="319"/>
      <c r="HLZ47" s="319"/>
      <c r="HMA47" s="319"/>
      <c r="HMB47" s="319"/>
      <c r="HMC47" s="319"/>
      <c r="HMD47" s="319"/>
      <c r="HME47" s="319"/>
      <c r="HMF47" s="319"/>
      <c r="HMG47" s="319"/>
      <c r="HMH47" s="319"/>
      <c r="HMI47" s="319"/>
      <c r="HMJ47" s="319"/>
      <c r="HMK47" s="319"/>
      <c r="HML47" s="319"/>
      <c r="HMM47" s="319"/>
      <c r="HMN47" s="319"/>
      <c r="HMO47" s="319"/>
      <c r="HMP47" s="319"/>
      <c r="HMQ47" s="319"/>
      <c r="HMR47" s="319"/>
      <c r="HMS47" s="319"/>
      <c r="HMT47" s="319"/>
      <c r="HMU47" s="319"/>
      <c r="HMV47" s="319"/>
      <c r="HMW47" s="319"/>
      <c r="HMX47" s="319"/>
      <c r="HMY47" s="319"/>
      <c r="HMZ47" s="319"/>
      <c r="HNA47" s="319"/>
      <c r="HNB47" s="319"/>
      <c r="HNC47" s="319"/>
      <c r="HND47" s="319"/>
      <c r="HNE47" s="319"/>
      <c r="HNF47" s="319"/>
      <c r="HNG47" s="319"/>
      <c r="HNH47" s="319"/>
      <c r="HNI47" s="319"/>
      <c r="HNJ47" s="319"/>
      <c r="HNK47" s="319"/>
      <c r="HNL47" s="319"/>
      <c r="HNM47" s="319"/>
      <c r="HNN47" s="319"/>
      <c r="HNO47" s="319"/>
      <c r="HNP47" s="319"/>
      <c r="HNQ47" s="319"/>
      <c r="HNR47" s="319"/>
      <c r="HNS47" s="319"/>
      <c r="HNT47" s="319"/>
      <c r="HNU47" s="319"/>
      <c r="HNV47" s="319"/>
      <c r="HNW47" s="319"/>
      <c r="HNX47" s="319"/>
      <c r="HNY47" s="319"/>
      <c r="HNZ47" s="319"/>
      <c r="HOA47" s="319"/>
      <c r="HOB47" s="319"/>
      <c r="HOC47" s="319"/>
      <c r="HOD47" s="319"/>
      <c r="HOE47" s="319"/>
      <c r="HOF47" s="319"/>
      <c r="HOG47" s="319"/>
      <c r="HOH47" s="319"/>
      <c r="HOI47" s="319"/>
      <c r="HOJ47" s="319"/>
      <c r="HOK47" s="319"/>
      <c r="HOL47" s="319"/>
      <c r="HOM47" s="319"/>
      <c r="HON47" s="319"/>
      <c r="HOO47" s="319"/>
      <c r="HOP47" s="319"/>
      <c r="HOQ47" s="319"/>
      <c r="HOR47" s="319"/>
      <c r="HOS47" s="319"/>
      <c r="HOT47" s="319"/>
      <c r="HOU47" s="319"/>
      <c r="HOV47" s="319"/>
      <c r="HOW47" s="319"/>
      <c r="HOX47" s="319"/>
      <c r="HOY47" s="319"/>
      <c r="HOZ47" s="319"/>
      <c r="HPA47" s="319"/>
      <c r="HPB47" s="319"/>
      <c r="HPC47" s="319"/>
      <c r="HPD47" s="319"/>
      <c r="HPE47" s="319"/>
      <c r="HPF47" s="319"/>
      <c r="HPG47" s="319"/>
      <c r="HPH47" s="319"/>
      <c r="HPI47" s="319"/>
      <c r="HPJ47" s="319"/>
      <c r="HPK47" s="319"/>
      <c r="HPL47" s="319"/>
      <c r="HPM47" s="319"/>
      <c r="HPN47" s="319"/>
      <c r="HPO47" s="319"/>
      <c r="HPP47" s="319"/>
      <c r="HPQ47" s="319"/>
      <c r="HPR47" s="319"/>
      <c r="HPS47" s="319"/>
      <c r="HPT47" s="319"/>
      <c r="HPU47" s="319"/>
      <c r="HPV47" s="319"/>
      <c r="HPW47" s="319"/>
      <c r="HPX47" s="319"/>
      <c r="HPY47" s="319"/>
      <c r="HPZ47" s="319"/>
      <c r="HQA47" s="319"/>
      <c r="HQB47" s="319"/>
      <c r="HQC47" s="319"/>
      <c r="HQD47" s="319"/>
      <c r="HQE47" s="319"/>
      <c r="HQF47" s="319"/>
      <c r="HQG47" s="319"/>
      <c r="HQH47" s="319"/>
      <c r="HQI47" s="319"/>
      <c r="HQJ47" s="319"/>
      <c r="HQK47" s="319"/>
      <c r="HQL47" s="319"/>
      <c r="HQM47" s="319"/>
      <c r="HQN47" s="319"/>
      <c r="HQO47" s="319"/>
      <c r="HQP47" s="319"/>
      <c r="HQQ47" s="319"/>
      <c r="HQR47" s="319"/>
      <c r="HQS47" s="319"/>
      <c r="HQT47" s="319"/>
      <c r="HQU47" s="319"/>
      <c r="HQV47" s="319"/>
      <c r="HQW47" s="319"/>
      <c r="HQX47" s="319"/>
      <c r="HQY47" s="319"/>
      <c r="HQZ47" s="319"/>
      <c r="HRA47" s="319"/>
      <c r="HRB47" s="319"/>
      <c r="HRC47" s="319"/>
      <c r="HRD47" s="319"/>
      <c r="HRE47" s="319"/>
      <c r="HRF47" s="319"/>
      <c r="HRG47" s="319"/>
      <c r="HRH47" s="319"/>
      <c r="HRI47" s="319"/>
      <c r="HRJ47" s="319"/>
      <c r="HRK47" s="319"/>
      <c r="HRL47" s="319"/>
      <c r="HRM47" s="319"/>
      <c r="HRN47" s="319"/>
      <c r="HRO47" s="319"/>
      <c r="HRP47" s="319"/>
      <c r="HRQ47" s="319"/>
      <c r="HRR47" s="319"/>
      <c r="HRS47" s="319"/>
      <c r="HRT47" s="319"/>
      <c r="HRU47" s="319"/>
      <c r="HRV47" s="319"/>
      <c r="HRW47" s="319"/>
      <c r="HRX47" s="319"/>
      <c r="HRY47" s="319"/>
      <c r="HRZ47" s="319"/>
      <c r="HSA47" s="319"/>
      <c r="HSB47" s="319"/>
      <c r="HSC47" s="319"/>
      <c r="HSD47" s="319"/>
      <c r="HSE47" s="319"/>
      <c r="HSF47" s="319"/>
      <c r="HSG47" s="319"/>
      <c r="HSH47" s="319"/>
      <c r="HSI47" s="319"/>
      <c r="HSJ47" s="319"/>
      <c r="HSK47" s="319"/>
      <c r="HSL47" s="319"/>
      <c r="HSM47" s="319"/>
      <c r="HSN47" s="319"/>
      <c r="HSO47" s="319"/>
      <c r="HSP47" s="319"/>
      <c r="HSQ47" s="319"/>
      <c r="HSR47" s="319"/>
      <c r="HSS47" s="319"/>
      <c r="HST47" s="319"/>
      <c r="HSU47" s="319"/>
      <c r="HSV47" s="319"/>
      <c r="HSW47" s="319"/>
      <c r="HSX47" s="319"/>
      <c r="HSY47" s="319"/>
      <c r="HSZ47" s="319"/>
      <c r="HTA47" s="319"/>
      <c r="HTB47" s="319"/>
      <c r="HTC47" s="319"/>
      <c r="HTD47" s="319"/>
      <c r="HTE47" s="319"/>
      <c r="HTF47" s="319"/>
      <c r="HTG47" s="319"/>
      <c r="HTH47" s="319"/>
      <c r="HTI47" s="319"/>
      <c r="HTJ47" s="319"/>
      <c r="HTK47" s="319"/>
      <c r="HTL47" s="319"/>
      <c r="HTM47" s="319"/>
      <c r="HTN47" s="319"/>
      <c r="HTO47" s="319"/>
      <c r="HTP47" s="319"/>
      <c r="HTQ47" s="319"/>
      <c r="HTR47" s="319"/>
      <c r="HTS47" s="319"/>
      <c r="HTT47" s="319"/>
      <c r="HTU47" s="319"/>
      <c r="HTV47" s="319"/>
      <c r="HTW47" s="319"/>
      <c r="HTX47" s="319"/>
      <c r="HTY47" s="319"/>
      <c r="HTZ47" s="319"/>
      <c r="HUA47" s="319"/>
      <c r="HUB47" s="319"/>
      <c r="HUC47" s="319"/>
      <c r="HUD47" s="319"/>
      <c r="HUE47" s="319"/>
      <c r="HUF47" s="319"/>
      <c r="HUG47" s="319"/>
      <c r="HUH47" s="319"/>
      <c r="HUI47" s="319"/>
      <c r="HUJ47" s="319"/>
      <c r="HUK47" s="319"/>
      <c r="HUL47" s="319"/>
      <c r="HUM47" s="319"/>
      <c r="HUN47" s="319"/>
      <c r="HUO47" s="319"/>
      <c r="HUP47" s="319"/>
      <c r="HUQ47" s="319"/>
      <c r="HUR47" s="319"/>
      <c r="HUS47" s="319"/>
      <c r="HUT47" s="319"/>
      <c r="HUU47" s="319"/>
      <c r="HUV47" s="319"/>
      <c r="HUW47" s="319"/>
      <c r="HUX47" s="319"/>
      <c r="HUY47" s="319"/>
      <c r="HUZ47" s="319"/>
      <c r="HVA47" s="319"/>
      <c r="HVB47" s="319"/>
      <c r="HVC47" s="319"/>
      <c r="HVD47" s="319"/>
      <c r="HVE47" s="319"/>
      <c r="HVF47" s="319"/>
      <c r="HVG47" s="319"/>
      <c r="HVH47" s="319"/>
      <c r="HVI47" s="319"/>
      <c r="HVJ47" s="319"/>
      <c r="HVK47" s="319"/>
      <c r="HVL47" s="319"/>
      <c r="HVM47" s="319"/>
      <c r="HVN47" s="319"/>
      <c r="HVO47" s="319"/>
      <c r="HVP47" s="319"/>
      <c r="HVQ47" s="319"/>
      <c r="HVR47" s="319"/>
      <c r="HVS47" s="319"/>
      <c r="HVT47" s="319"/>
      <c r="HVU47" s="319"/>
      <c r="HVV47" s="319"/>
      <c r="HVW47" s="319"/>
      <c r="HVX47" s="319"/>
      <c r="HVY47" s="319"/>
      <c r="HVZ47" s="319"/>
      <c r="HWA47" s="319"/>
      <c r="HWB47" s="319"/>
      <c r="HWC47" s="319"/>
      <c r="HWD47" s="319"/>
      <c r="HWE47" s="319"/>
      <c r="HWF47" s="319"/>
      <c r="HWG47" s="319"/>
      <c r="HWH47" s="319"/>
      <c r="HWI47" s="319"/>
      <c r="HWJ47" s="319"/>
      <c r="HWK47" s="319"/>
      <c r="HWL47" s="319"/>
      <c r="HWM47" s="319"/>
      <c r="HWN47" s="319"/>
      <c r="HWO47" s="319"/>
      <c r="HWP47" s="319"/>
      <c r="HWQ47" s="319"/>
      <c r="HWR47" s="319"/>
      <c r="HWS47" s="319"/>
      <c r="HWT47" s="319"/>
      <c r="HWU47" s="319"/>
      <c r="HWV47" s="319"/>
      <c r="HWW47" s="319"/>
      <c r="HWX47" s="319"/>
      <c r="HWY47" s="319"/>
      <c r="HWZ47" s="319"/>
      <c r="HXA47" s="319"/>
      <c r="HXB47" s="319"/>
      <c r="HXC47" s="319"/>
      <c r="HXD47" s="319"/>
      <c r="HXE47" s="319"/>
      <c r="HXF47" s="319"/>
      <c r="HXG47" s="319"/>
      <c r="HXH47" s="319"/>
      <c r="HXI47" s="319"/>
      <c r="HXJ47" s="319"/>
      <c r="HXK47" s="319"/>
      <c r="HXL47" s="319"/>
      <c r="HXM47" s="319"/>
      <c r="HXN47" s="319"/>
      <c r="HXO47" s="319"/>
      <c r="HXP47" s="319"/>
      <c r="HXQ47" s="319"/>
      <c r="HXR47" s="319"/>
      <c r="HXS47" s="319"/>
      <c r="HXT47" s="319"/>
      <c r="HXU47" s="319"/>
      <c r="HXV47" s="319"/>
      <c r="HXW47" s="319"/>
      <c r="HXX47" s="319"/>
      <c r="HXY47" s="319"/>
      <c r="HXZ47" s="319"/>
      <c r="HYA47" s="319"/>
      <c r="HYB47" s="319"/>
      <c r="HYC47" s="319"/>
      <c r="HYD47" s="319"/>
      <c r="HYE47" s="319"/>
      <c r="HYF47" s="319"/>
      <c r="HYG47" s="319"/>
      <c r="HYH47" s="319"/>
      <c r="HYI47" s="319"/>
      <c r="HYJ47" s="319"/>
      <c r="HYK47" s="319"/>
      <c r="HYL47" s="319"/>
      <c r="HYM47" s="319"/>
      <c r="HYN47" s="319"/>
      <c r="HYO47" s="319"/>
      <c r="HYP47" s="319"/>
      <c r="HYQ47" s="319"/>
      <c r="HYR47" s="319"/>
      <c r="HYS47" s="319"/>
      <c r="HYT47" s="319"/>
      <c r="HYU47" s="319"/>
      <c r="HYV47" s="319"/>
      <c r="HYW47" s="319"/>
      <c r="HYX47" s="319"/>
      <c r="HYY47" s="319"/>
      <c r="HYZ47" s="319"/>
      <c r="HZA47" s="319"/>
      <c r="HZB47" s="319"/>
      <c r="HZC47" s="319"/>
      <c r="HZD47" s="319"/>
      <c r="HZE47" s="319"/>
      <c r="HZF47" s="319"/>
      <c r="HZG47" s="319"/>
      <c r="HZH47" s="319"/>
      <c r="HZI47" s="319"/>
      <c r="HZJ47" s="319"/>
      <c r="HZK47" s="319"/>
      <c r="HZL47" s="319"/>
      <c r="HZM47" s="319"/>
      <c r="HZN47" s="319"/>
      <c r="HZO47" s="319"/>
      <c r="HZP47" s="319"/>
      <c r="HZQ47" s="319"/>
      <c r="HZR47" s="319"/>
      <c r="HZS47" s="319"/>
      <c r="HZT47" s="319"/>
      <c r="HZU47" s="319"/>
      <c r="HZV47" s="319"/>
      <c r="HZW47" s="319"/>
      <c r="HZX47" s="319"/>
      <c r="HZY47" s="319"/>
      <c r="HZZ47" s="319"/>
      <c r="IAA47" s="319"/>
      <c r="IAB47" s="319"/>
      <c r="IAC47" s="319"/>
      <c r="IAD47" s="319"/>
      <c r="IAE47" s="319"/>
      <c r="IAF47" s="319"/>
      <c r="IAG47" s="319"/>
      <c r="IAH47" s="319"/>
      <c r="IAI47" s="319"/>
      <c r="IAJ47" s="319"/>
      <c r="IAK47" s="319"/>
      <c r="IAL47" s="319"/>
      <c r="IAM47" s="319"/>
      <c r="IAN47" s="319"/>
      <c r="IAO47" s="319"/>
      <c r="IAP47" s="319"/>
      <c r="IAQ47" s="319"/>
      <c r="IAR47" s="319"/>
      <c r="IAS47" s="319"/>
      <c r="IAT47" s="319"/>
      <c r="IAU47" s="319"/>
      <c r="IAV47" s="319"/>
      <c r="IAW47" s="319"/>
      <c r="IAX47" s="319"/>
      <c r="IAY47" s="319"/>
      <c r="IAZ47" s="319"/>
      <c r="IBA47" s="319"/>
      <c r="IBB47" s="319"/>
      <c r="IBC47" s="319"/>
      <c r="IBD47" s="319"/>
      <c r="IBE47" s="319"/>
      <c r="IBF47" s="319"/>
      <c r="IBG47" s="319"/>
      <c r="IBH47" s="319"/>
      <c r="IBI47" s="319"/>
      <c r="IBJ47" s="319"/>
      <c r="IBK47" s="319"/>
      <c r="IBL47" s="319"/>
      <c r="IBM47" s="319"/>
      <c r="IBN47" s="319"/>
      <c r="IBO47" s="319"/>
      <c r="IBP47" s="319"/>
      <c r="IBQ47" s="319"/>
      <c r="IBR47" s="319"/>
      <c r="IBS47" s="319"/>
      <c r="IBT47" s="319"/>
      <c r="IBU47" s="319"/>
      <c r="IBV47" s="319"/>
      <c r="IBW47" s="319"/>
      <c r="IBX47" s="319"/>
      <c r="IBY47" s="319"/>
      <c r="IBZ47" s="319"/>
      <c r="ICA47" s="319"/>
      <c r="ICB47" s="319"/>
      <c r="ICC47" s="319"/>
      <c r="ICD47" s="319"/>
      <c r="ICE47" s="319"/>
      <c r="ICF47" s="319"/>
      <c r="ICG47" s="319"/>
      <c r="ICH47" s="319"/>
      <c r="ICI47" s="319"/>
      <c r="ICJ47" s="319"/>
      <c r="ICK47" s="319"/>
      <c r="ICL47" s="319"/>
      <c r="ICM47" s="319"/>
      <c r="ICN47" s="319"/>
      <c r="ICO47" s="319"/>
      <c r="ICP47" s="319"/>
      <c r="ICQ47" s="319"/>
      <c r="ICR47" s="319"/>
      <c r="ICS47" s="319"/>
      <c r="ICT47" s="319"/>
      <c r="ICU47" s="319"/>
      <c r="ICV47" s="319"/>
      <c r="ICW47" s="319"/>
      <c r="ICX47" s="319"/>
      <c r="ICY47" s="319"/>
      <c r="ICZ47" s="319"/>
      <c r="IDA47" s="319"/>
      <c r="IDB47" s="319"/>
      <c r="IDC47" s="319"/>
      <c r="IDD47" s="319"/>
      <c r="IDE47" s="319"/>
      <c r="IDF47" s="319"/>
      <c r="IDG47" s="319"/>
      <c r="IDH47" s="319"/>
      <c r="IDI47" s="319"/>
      <c r="IDJ47" s="319"/>
      <c r="IDK47" s="319"/>
      <c r="IDL47" s="319"/>
      <c r="IDM47" s="319"/>
      <c r="IDN47" s="319"/>
      <c r="IDO47" s="319"/>
      <c r="IDP47" s="319"/>
      <c r="IDQ47" s="319"/>
      <c r="IDR47" s="319"/>
      <c r="IDS47" s="319"/>
      <c r="IDT47" s="319"/>
      <c r="IDU47" s="319"/>
      <c r="IDV47" s="319"/>
      <c r="IDW47" s="319"/>
      <c r="IDX47" s="319"/>
      <c r="IDY47" s="319"/>
      <c r="IDZ47" s="319"/>
      <c r="IEA47" s="319"/>
      <c r="IEB47" s="319"/>
      <c r="IEC47" s="319"/>
      <c r="IED47" s="319"/>
      <c r="IEE47" s="319"/>
      <c r="IEF47" s="319"/>
      <c r="IEG47" s="319"/>
      <c r="IEH47" s="319"/>
      <c r="IEI47" s="319"/>
      <c r="IEJ47" s="319"/>
      <c r="IEK47" s="319"/>
      <c r="IEL47" s="319"/>
      <c r="IEM47" s="319"/>
      <c r="IEN47" s="319"/>
      <c r="IEO47" s="319"/>
      <c r="IEP47" s="319"/>
      <c r="IEQ47" s="319"/>
      <c r="IER47" s="319"/>
      <c r="IES47" s="319"/>
      <c r="IET47" s="319"/>
      <c r="IEU47" s="319"/>
      <c r="IEV47" s="319"/>
      <c r="IEW47" s="319"/>
      <c r="IEX47" s="319"/>
      <c r="IEY47" s="319"/>
      <c r="IEZ47" s="319"/>
      <c r="IFA47" s="319"/>
      <c r="IFB47" s="319"/>
      <c r="IFC47" s="319"/>
      <c r="IFD47" s="319"/>
      <c r="IFE47" s="319"/>
      <c r="IFF47" s="319"/>
      <c r="IFG47" s="319"/>
      <c r="IFH47" s="319"/>
      <c r="IFI47" s="319"/>
      <c r="IFJ47" s="319"/>
      <c r="IFK47" s="319"/>
      <c r="IFL47" s="319"/>
      <c r="IFM47" s="319"/>
      <c r="IFN47" s="319"/>
      <c r="IFO47" s="319"/>
      <c r="IFP47" s="319"/>
      <c r="IFQ47" s="319"/>
      <c r="IFR47" s="319"/>
      <c r="IFS47" s="319"/>
      <c r="IFT47" s="319"/>
      <c r="IFU47" s="319"/>
      <c r="IFV47" s="319"/>
      <c r="IFW47" s="319"/>
      <c r="IFX47" s="319"/>
      <c r="IFY47" s="319"/>
      <c r="IFZ47" s="319"/>
      <c r="IGA47" s="319"/>
      <c r="IGB47" s="319"/>
      <c r="IGC47" s="319"/>
      <c r="IGD47" s="319"/>
      <c r="IGE47" s="319"/>
      <c r="IGF47" s="319"/>
      <c r="IGG47" s="319"/>
      <c r="IGH47" s="319"/>
      <c r="IGI47" s="319"/>
      <c r="IGJ47" s="319"/>
      <c r="IGK47" s="319"/>
      <c r="IGL47" s="319"/>
      <c r="IGM47" s="319"/>
      <c r="IGN47" s="319"/>
      <c r="IGO47" s="319"/>
      <c r="IGP47" s="319"/>
      <c r="IGQ47" s="319"/>
      <c r="IGR47" s="319"/>
      <c r="IGS47" s="319"/>
      <c r="IGT47" s="319"/>
      <c r="IGU47" s="319"/>
      <c r="IGV47" s="319"/>
      <c r="IGW47" s="319"/>
      <c r="IGX47" s="319"/>
      <c r="IGY47" s="319"/>
      <c r="IGZ47" s="319"/>
      <c r="IHA47" s="319"/>
      <c r="IHB47" s="319"/>
      <c r="IHC47" s="319"/>
      <c r="IHD47" s="319"/>
      <c r="IHE47" s="319"/>
      <c r="IHF47" s="319"/>
      <c r="IHG47" s="319"/>
      <c r="IHH47" s="319"/>
      <c r="IHI47" s="319"/>
      <c r="IHJ47" s="319"/>
      <c r="IHK47" s="319"/>
      <c r="IHL47" s="319"/>
      <c r="IHM47" s="319"/>
      <c r="IHN47" s="319"/>
      <c r="IHO47" s="319"/>
      <c r="IHP47" s="319"/>
      <c r="IHQ47" s="319"/>
      <c r="IHR47" s="319"/>
      <c r="IHS47" s="319"/>
      <c r="IHT47" s="319"/>
      <c r="IHU47" s="319"/>
      <c r="IHV47" s="319"/>
      <c r="IHW47" s="319"/>
      <c r="IHX47" s="319"/>
      <c r="IHY47" s="319"/>
      <c r="IHZ47" s="319"/>
      <c r="IIA47" s="319"/>
      <c r="IIB47" s="319"/>
      <c r="IIC47" s="319"/>
      <c r="IID47" s="319"/>
      <c r="IIE47" s="319"/>
      <c r="IIF47" s="319"/>
      <c r="IIG47" s="319"/>
      <c r="IIH47" s="319"/>
      <c r="III47" s="319"/>
      <c r="IIJ47" s="319"/>
      <c r="IIK47" s="319"/>
      <c r="IIL47" s="319"/>
      <c r="IIM47" s="319"/>
      <c r="IIN47" s="319"/>
      <c r="IIO47" s="319"/>
      <c r="IIP47" s="319"/>
      <c r="IIQ47" s="319"/>
      <c r="IIR47" s="319"/>
      <c r="IIS47" s="319"/>
      <c r="IIT47" s="319"/>
      <c r="IIU47" s="319"/>
      <c r="IIV47" s="319"/>
      <c r="IIW47" s="319"/>
      <c r="IIX47" s="319"/>
      <c r="IIY47" s="319"/>
      <c r="IIZ47" s="319"/>
      <c r="IJA47" s="319"/>
      <c r="IJB47" s="319"/>
      <c r="IJC47" s="319"/>
      <c r="IJD47" s="319"/>
      <c r="IJE47" s="319"/>
      <c r="IJF47" s="319"/>
      <c r="IJG47" s="319"/>
      <c r="IJH47" s="319"/>
      <c r="IJI47" s="319"/>
      <c r="IJJ47" s="319"/>
      <c r="IJK47" s="319"/>
      <c r="IJL47" s="319"/>
      <c r="IJM47" s="319"/>
      <c r="IJN47" s="319"/>
      <c r="IJO47" s="319"/>
      <c r="IJP47" s="319"/>
      <c r="IJQ47" s="319"/>
      <c r="IJR47" s="319"/>
      <c r="IJS47" s="319"/>
      <c r="IJT47" s="319"/>
      <c r="IJU47" s="319"/>
      <c r="IJV47" s="319"/>
      <c r="IJW47" s="319"/>
      <c r="IJX47" s="319"/>
      <c r="IJY47" s="319"/>
      <c r="IJZ47" s="319"/>
      <c r="IKA47" s="319"/>
      <c r="IKB47" s="319"/>
      <c r="IKC47" s="319"/>
      <c r="IKD47" s="319"/>
      <c r="IKE47" s="319"/>
      <c r="IKF47" s="319"/>
      <c r="IKG47" s="319"/>
      <c r="IKH47" s="319"/>
      <c r="IKI47" s="319"/>
      <c r="IKJ47" s="319"/>
      <c r="IKK47" s="319"/>
      <c r="IKL47" s="319"/>
      <c r="IKM47" s="319"/>
      <c r="IKN47" s="319"/>
      <c r="IKO47" s="319"/>
      <c r="IKP47" s="319"/>
      <c r="IKQ47" s="319"/>
      <c r="IKR47" s="319"/>
      <c r="IKS47" s="319"/>
      <c r="IKT47" s="319"/>
      <c r="IKU47" s="319"/>
      <c r="IKV47" s="319"/>
      <c r="IKW47" s="319"/>
      <c r="IKX47" s="319"/>
      <c r="IKY47" s="319"/>
      <c r="IKZ47" s="319"/>
      <c r="ILA47" s="319"/>
      <c r="ILB47" s="319"/>
      <c r="ILC47" s="319"/>
      <c r="ILD47" s="319"/>
      <c r="ILE47" s="319"/>
      <c r="ILF47" s="319"/>
      <c r="ILG47" s="319"/>
      <c r="ILH47" s="319"/>
      <c r="ILI47" s="319"/>
      <c r="ILJ47" s="319"/>
      <c r="ILK47" s="319"/>
      <c r="ILL47" s="319"/>
      <c r="ILM47" s="319"/>
      <c r="ILN47" s="319"/>
      <c r="ILO47" s="319"/>
      <c r="ILP47" s="319"/>
      <c r="ILQ47" s="319"/>
      <c r="ILR47" s="319"/>
      <c r="ILS47" s="319"/>
      <c r="ILT47" s="319"/>
      <c r="ILU47" s="319"/>
      <c r="ILV47" s="319"/>
      <c r="ILW47" s="319"/>
      <c r="ILX47" s="319"/>
      <c r="ILY47" s="319"/>
      <c r="ILZ47" s="319"/>
      <c r="IMA47" s="319"/>
      <c r="IMB47" s="319"/>
      <c r="IMC47" s="319"/>
      <c r="IMD47" s="319"/>
      <c r="IME47" s="319"/>
      <c r="IMF47" s="319"/>
      <c r="IMG47" s="319"/>
      <c r="IMH47" s="319"/>
      <c r="IMI47" s="319"/>
      <c r="IMJ47" s="319"/>
      <c r="IMK47" s="319"/>
      <c r="IML47" s="319"/>
      <c r="IMM47" s="319"/>
      <c r="IMN47" s="319"/>
      <c r="IMO47" s="319"/>
      <c r="IMP47" s="319"/>
      <c r="IMQ47" s="319"/>
      <c r="IMR47" s="319"/>
      <c r="IMS47" s="319"/>
      <c r="IMT47" s="319"/>
      <c r="IMU47" s="319"/>
      <c r="IMV47" s="319"/>
      <c r="IMW47" s="319"/>
      <c r="IMX47" s="319"/>
      <c r="IMY47" s="319"/>
      <c r="IMZ47" s="319"/>
      <c r="INA47" s="319"/>
      <c r="INB47" s="319"/>
      <c r="INC47" s="319"/>
      <c r="IND47" s="319"/>
      <c r="INE47" s="319"/>
      <c r="INF47" s="319"/>
      <c r="ING47" s="319"/>
      <c r="INH47" s="319"/>
      <c r="INI47" s="319"/>
      <c r="INJ47" s="319"/>
      <c r="INK47" s="319"/>
      <c r="INL47" s="319"/>
      <c r="INM47" s="319"/>
      <c r="INN47" s="319"/>
      <c r="INO47" s="319"/>
      <c r="INP47" s="319"/>
      <c r="INQ47" s="319"/>
      <c r="INR47" s="319"/>
      <c r="INS47" s="319"/>
      <c r="INT47" s="319"/>
      <c r="INU47" s="319"/>
      <c r="INV47" s="319"/>
      <c r="INW47" s="319"/>
      <c r="INX47" s="319"/>
      <c r="INY47" s="319"/>
      <c r="INZ47" s="319"/>
      <c r="IOA47" s="319"/>
      <c r="IOB47" s="319"/>
      <c r="IOC47" s="319"/>
      <c r="IOD47" s="319"/>
      <c r="IOE47" s="319"/>
      <c r="IOF47" s="319"/>
      <c r="IOG47" s="319"/>
      <c r="IOH47" s="319"/>
      <c r="IOI47" s="319"/>
      <c r="IOJ47" s="319"/>
      <c r="IOK47" s="319"/>
      <c r="IOL47" s="319"/>
      <c r="IOM47" s="319"/>
      <c r="ION47" s="319"/>
      <c r="IOO47" s="319"/>
      <c r="IOP47" s="319"/>
      <c r="IOQ47" s="319"/>
      <c r="IOR47" s="319"/>
      <c r="IOS47" s="319"/>
      <c r="IOT47" s="319"/>
      <c r="IOU47" s="319"/>
      <c r="IOV47" s="319"/>
      <c r="IOW47" s="319"/>
      <c r="IOX47" s="319"/>
      <c r="IOY47" s="319"/>
      <c r="IOZ47" s="319"/>
      <c r="IPA47" s="319"/>
      <c r="IPB47" s="319"/>
      <c r="IPC47" s="319"/>
      <c r="IPD47" s="319"/>
      <c r="IPE47" s="319"/>
      <c r="IPF47" s="319"/>
      <c r="IPG47" s="319"/>
      <c r="IPH47" s="319"/>
      <c r="IPI47" s="319"/>
      <c r="IPJ47" s="319"/>
      <c r="IPK47" s="319"/>
      <c r="IPL47" s="319"/>
      <c r="IPM47" s="319"/>
      <c r="IPN47" s="319"/>
      <c r="IPO47" s="319"/>
      <c r="IPP47" s="319"/>
      <c r="IPQ47" s="319"/>
      <c r="IPR47" s="319"/>
      <c r="IPS47" s="319"/>
      <c r="IPT47" s="319"/>
      <c r="IPU47" s="319"/>
      <c r="IPV47" s="319"/>
      <c r="IPW47" s="319"/>
      <c r="IPX47" s="319"/>
      <c r="IPY47" s="319"/>
      <c r="IPZ47" s="319"/>
      <c r="IQA47" s="319"/>
      <c r="IQB47" s="319"/>
      <c r="IQC47" s="319"/>
      <c r="IQD47" s="319"/>
      <c r="IQE47" s="319"/>
      <c r="IQF47" s="319"/>
      <c r="IQG47" s="319"/>
      <c r="IQH47" s="319"/>
      <c r="IQI47" s="319"/>
      <c r="IQJ47" s="319"/>
      <c r="IQK47" s="319"/>
      <c r="IQL47" s="319"/>
      <c r="IQM47" s="319"/>
      <c r="IQN47" s="319"/>
      <c r="IQO47" s="319"/>
      <c r="IQP47" s="319"/>
      <c r="IQQ47" s="319"/>
      <c r="IQR47" s="319"/>
      <c r="IQS47" s="319"/>
      <c r="IQT47" s="319"/>
      <c r="IQU47" s="319"/>
      <c r="IQV47" s="319"/>
      <c r="IQW47" s="319"/>
      <c r="IQX47" s="319"/>
      <c r="IQY47" s="319"/>
      <c r="IQZ47" s="319"/>
      <c r="IRA47" s="319"/>
      <c r="IRB47" s="319"/>
      <c r="IRC47" s="319"/>
      <c r="IRD47" s="319"/>
      <c r="IRE47" s="319"/>
      <c r="IRF47" s="319"/>
      <c r="IRG47" s="319"/>
      <c r="IRH47" s="319"/>
      <c r="IRI47" s="319"/>
      <c r="IRJ47" s="319"/>
      <c r="IRK47" s="319"/>
      <c r="IRL47" s="319"/>
      <c r="IRM47" s="319"/>
      <c r="IRN47" s="319"/>
      <c r="IRO47" s="319"/>
      <c r="IRP47" s="319"/>
      <c r="IRQ47" s="319"/>
      <c r="IRR47" s="319"/>
      <c r="IRS47" s="319"/>
      <c r="IRT47" s="319"/>
      <c r="IRU47" s="319"/>
      <c r="IRV47" s="319"/>
      <c r="IRW47" s="319"/>
      <c r="IRX47" s="319"/>
      <c r="IRY47" s="319"/>
      <c r="IRZ47" s="319"/>
      <c r="ISA47" s="319"/>
      <c r="ISB47" s="319"/>
      <c r="ISC47" s="319"/>
      <c r="ISD47" s="319"/>
      <c r="ISE47" s="319"/>
      <c r="ISF47" s="319"/>
      <c r="ISG47" s="319"/>
      <c r="ISH47" s="319"/>
      <c r="ISI47" s="319"/>
      <c r="ISJ47" s="319"/>
      <c r="ISK47" s="319"/>
      <c r="ISL47" s="319"/>
      <c r="ISM47" s="319"/>
      <c r="ISN47" s="319"/>
      <c r="ISO47" s="319"/>
      <c r="ISP47" s="319"/>
      <c r="ISQ47" s="319"/>
      <c r="ISR47" s="319"/>
      <c r="ISS47" s="319"/>
      <c r="IST47" s="319"/>
      <c r="ISU47" s="319"/>
      <c r="ISV47" s="319"/>
      <c r="ISW47" s="319"/>
      <c r="ISX47" s="319"/>
      <c r="ISY47" s="319"/>
      <c r="ISZ47" s="319"/>
      <c r="ITA47" s="319"/>
      <c r="ITB47" s="319"/>
      <c r="ITC47" s="319"/>
      <c r="ITD47" s="319"/>
      <c r="ITE47" s="319"/>
      <c r="ITF47" s="319"/>
      <c r="ITG47" s="319"/>
      <c r="ITH47" s="319"/>
      <c r="ITI47" s="319"/>
      <c r="ITJ47" s="319"/>
      <c r="ITK47" s="319"/>
      <c r="ITL47" s="319"/>
      <c r="ITM47" s="319"/>
      <c r="ITN47" s="319"/>
      <c r="ITO47" s="319"/>
      <c r="ITP47" s="319"/>
      <c r="ITQ47" s="319"/>
      <c r="ITR47" s="319"/>
      <c r="ITS47" s="319"/>
      <c r="ITT47" s="319"/>
      <c r="ITU47" s="319"/>
      <c r="ITV47" s="319"/>
      <c r="ITW47" s="319"/>
      <c r="ITX47" s="319"/>
      <c r="ITY47" s="319"/>
      <c r="ITZ47" s="319"/>
      <c r="IUA47" s="319"/>
      <c r="IUB47" s="319"/>
      <c r="IUC47" s="319"/>
      <c r="IUD47" s="319"/>
      <c r="IUE47" s="319"/>
      <c r="IUF47" s="319"/>
      <c r="IUG47" s="319"/>
      <c r="IUH47" s="319"/>
      <c r="IUI47" s="319"/>
      <c r="IUJ47" s="319"/>
      <c r="IUK47" s="319"/>
      <c r="IUL47" s="319"/>
      <c r="IUM47" s="319"/>
      <c r="IUN47" s="319"/>
      <c r="IUO47" s="319"/>
      <c r="IUP47" s="319"/>
      <c r="IUQ47" s="319"/>
      <c r="IUR47" s="319"/>
      <c r="IUS47" s="319"/>
      <c r="IUT47" s="319"/>
      <c r="IUU47" s="319"/>
      <c r="IUV47" s="319"/>
      <c r="IUW47" s="319"/>
      <c r="IUX47" s="319"/>
      <c r="IUY47" s="319"/>
      <c r="IUZ47" s="319"/>
      <c r="IVA47" s="319"/>
      <c r="IVB47" s="319"/>
      <c r="IVC47" s="319"/>
      <c r="IVD47" s="319"/>
      <c r="IVE47" s="319"/>
      <c r="IVF47" s="319"/>
      <c r="IVG47" s="319"/>
      <c r="IVH47" s="319"/>
      <c r="IVI47" s="319"/>
      <c r="IVJ47" s="319"/>
      <c r="IVK47" s="319"/>
      <c r="IVL47" s="319"/>
      <c r="IVM47" s="319"/>
      <c r="IVN47" s="319"/>
      <c r="IVO47" s="319"/>
      <c r="IVP47" s="319"/>
      <c r="IVQ47" s="319"/>
      <c r="IVR47" s="319"/>
      <c r="IVS47" s="319"/>
      <c r="IVT47" s="319"/>
      <c r="IVU47" s="319"/>
      <c r="IVV47" s="319"/>
      <c r="IVW47" s="319"/>
      <c r="IVX47" s="319"/>
      <c r="IVY47" s="319"/>
      <c r="IVZ47" s="319"/>
      <c r="IWA47" s="319"/>
      <c r="IWB47" s="319"/>
      <c r="IWC47" s="319"/>
      <c r="IWD47" s="319"/>
      <c r="IWE47" s="319"/>
      <c r="IWF47" s="319"/>
      <c r="IWG47" s="319"/>
      <c r="IWH47" s="319"/>
      <c r="IWI47" s="319"/>
      <c r="IWJ47" s="319"/>
      <c r="IWK47" s="319"/>
      <c r="IWL47" s="319"/>
      <c r="IWM47" s="319"/>
      <c r="IWN47" s="319"/>
      <c r="IWO47" s="319"/>
      <c r="IWP47" s="319"/>
      <c r="IWQ47" s="319"/>
      <c r="IWR47" s="319"/>
      <c r="IWS47" s="319"/>
      <c r="IWT47" s="319"/>
      <c r="IWU47" s="319"/>
      <c r="IWV47" s="319"/>
      <c r="IWW47" s="319"/>
      <c r="IWX47" s="319"/>
      <c r="IWY47" s="319"/>
      <c r="IWZ47" s="319"/>
      <c r="IXA47" s="319"/>
      <c r="IXB47" s="319"/>
      <c r="IXC47" s="319"/>
      <c r="IXD47" s="319"/>
      <c r="IXE47" s="319"/>
      <c r="IXF47" s="319"/>
      <c r="IXG47" s="319"/>
      <c r="IXH47" s="319"/>
      <c r="IXI47" s="319"/>
      <c r="IXJ47" s="319"/>
      <c r="IXK47" s="319"/>
      <c r="IXL47" s="319"/>
      <c r="IXM47" s="319"/>
      <c r="IXN47" s="319"/>
      <c r="IXO47" s="319"/>
      <c r="IXP47" s="319"/>
      <c r="IXQ47" s="319"/>
      <c r="IXR47" s="319"/>
      <c r="IXS47" s="319"/>
      <c r="IXT47" s="319"/>
      <c r="IXU47" s="319"/>
      <c r="IXV47" s="319"/>
      <c r="IXW47" s="319"/>
      <c r="IXX47" s="319"/>
      <c r="IXY47" s="319"/>
      <c r="IXZ47" s="319"/>
      <c r="IYA47" s="319"/>
      <c r="IYB47" s="319"/>
      <c r="IYC47" s="319"/>
      <c r="IYD47" s="319"/>
      <c r="IYE47" s="319"/>
      <c r="IYF47" s="319"/>
      <c r="IYG47" s="319"/>
      <c r="IYH47" s="319"/>
      <c r="IYI47" s="319"/>
      <c r="IYJ47" s="319"/>
      <c r="IYK47" s="319"/>
      <c r="IYL47" s="319"/>
      <c r="IYM47" s="319"/>
      <c r="IYN47" s="319"/>
      <c r="IYO47" s="319"/>
      <c r="IYP47" s="319"/>
      <c r="IYQ47" s="319"/>
      <c r="IYR47" s="319"/>
      <c r="IYS47" s="319"/>
      <c r="IYT47" s="319"/>
      <c r="IYU47" s="319"/>
      <c r="IYV47" s="319"/>
      <c r="IYW47" s="319"/>
      <c r="IYX47" s="319"/>
      <c r="IYY47" s="319"/>
      <c r="IYZ47" s="319"/>
      <c r="IZA47" s="319"/>
      <c r="IZB47" s="319"/>
      <c r="IZC47" s="319"/>
      <c r="IZD47" s="319"/>
      <c r="IZE47" s="319"/>
      <c r="IZF47" s="319"/>
      <c r="IZG47" s="319"/>
      <c r="IZH47" s="319"/>
      <c r="IZI47" s="319"/>
      <c r="IZJ47" s="319"/>
      <c r="IZK47" s="319"/>
      <c r="IZL47" s="319"/>
      <c r="IZM47" s="319"/>
      <c r="IZN47" s="319"/>
      <c r="IZO47" s="319"/>
      <c r="IZP47" s="319"/>
      <c r="IZQ47" s="319"/>
      <c r="IZR47" s="319"/>
      <c r="IZS47" s="319"/>
      <c r="IZT47" s="319"/>
      <c r="IZU47" s="319"/>
      <c r="IZV47" s="319"/>
      <c r="IZW47" s="319"/>
      <c r="IZX47" s="319"/>
      <c r="IZY47" s="319"/>
      <c r="IZZ47" s="319"/>
      <c r="JAA47" s="319"/>
      <c r="JAB47" s="319"/>
      <c r="JAC47" s="319"/>
      <c r="JAD47" s="319"/>
      <c r="JAE47" s="319"/>
      <c r="JAF47" s="319"/>
      <c r="JAG47" s="319"/>
      <c r="JAH47" s="319"/>
      <c r="JAI47" s="319"/>
      <c r="JAJ47" s="319"/>
      <c r="JAK47" s="319"/>
      <c r="JAL47" s="319"/>
      <c r="JAM47" s="319"/>
      <c r="JAN47" s="319"/>
      <c r="JAO47" s="319"/>
      <c r="JAP47" s="319"/>
      <c r="JAQ47" s="319"/>
      <c r="JAR47" s="319"/>
      <c r="JAS47" s="319"/>
      <c r="JAT47" s="319"/>
      <c r="JAU47" s="319"/>
      <c r="JAV47" s="319"/>
      <c r="JAW47" s="319"/>
      <c r="JAX47" s="319"/>
      <c r="JAY47" s="319"/>
      <c r="JAZ47" s="319"/>
      <c r="JBA47" s="319"/>
      <c r="JBB47" s="319"/>
      <c r="JBC47" s="319"/>
      <c r="JBD47" s="319"/>
      <c r="JBE47" s="319"/>
      <c r="JBF47" s="319"/>
      <c r="JBG47" s="319"/>
      <c r="JBH47" s="319"/>
      <c r="JBI47" s="319"/>
      <c r="JBJ47" s="319"/>
      <c r="JBK47" s="319"/>
      <c r="JBL47" s="319"/>
      <c r="JBM47" s="319"/>
      <c r="JBN47" s="319"/>
      <c r="JBO47" s="319"/>
      <c r="JBP47" s="319"/>
      <c r="JBQ47" s="319"/>
      <c r="JBR47" s="319"/>
      <c r="JBS47" s="319"/>
      <c r="JBT47" s="319"/>
      <c r="JBU47" s="319"/>
      <c r="JBV47" s="319"/>
      <c r="JBW47" s="319"/>
      <c r="JBX47" s="319"/>
      <c r="JBY47" s="319"/>
      <c r="JBZ47" s="319"/>
      <c r="JCA47" s="319"/>
      <c r="JCB47" s="319"/>
      <c r="JCC47" s="319"/>
      <c r="JCD47" s="319"/>
      <c r="JCE47" s="319"/>
      <c r="JCF47" s="319"/>
      <c r="JCG47" s="319"/>
      <c r="JCH47" s="319"/>
      <c r="JCI47" s="319"/>
      <c r="JCJ47" s="319"/>
      <c r="JCK47" s="319"/>
      <c r="JCL47" s="319"/>
      <c r="JCM47" s="319"/>
      <c r="JCN47" s="319"/>
      <c r="JCO47" s="319"/>
      <c r="JCP47" s="319"/>
      <c r="JCQ47" s="319"/>
      <c r="JCR47" s="319"/>
      <c r="JCS47" s="319"/>
      <c r="JCT47" s="319"/>
      <c r="JCU47" s="319"/>
      <c r="JCV47" s="319"/>
      <c r="JCW47" s="319"/>
      <c r="JCX47" s="319"/>
      <c r="JCY47" s="319"/>
      <c r="JCZ47" s="319"/>
      <c r="JDA47" s="319"/>
      <c r="JDB47" s="319"/>
      <c r="JDC47" s="319"/>
      <c r="JDD47" s="319"/>
      <c r="JDE47" s="319"/>
      <c r="JDF47" s="319"/>
      <c r="JDG47" s="319"/>
      <c r="JDH47" s="319"/>
      <c r="JDI47" s="319"/>
      <c r="JDJ47" s="319"/>
      <c r="JDK47" s="319"/>
      <c r="JDL47" s="319"/>
      <c r="JDM47" s="319"/>
      <c r="JDN47" s="319"/>
      <c r="JDO47" s="319"/>
      <c r="JDP47" s="319"/>
      <c r="JDQ47" s="319"/>
      <c r="JDR47" s="319"/>
      <c r="JDS47" s="319"/>
      <c r="JDT47" s="319"/>
      <c r="JDU47" s="319"/>
      <c r="JDV47" s="319"/>
      <c r="JDW47" s="319"/>
      <c r="JDX47" s="319"/>
      <c r="JDY47" s="319"/>
      <c r="JDZ47" s="319"/>
      <c r="JEA47" s="319"/>
      <c r="JEB47" s="319"/>
      <c r="JEC47" s="319"/>
      <c r="JED47" s="319"/>
      <c r="JEE47" s="319"/>
      <c r="JEF47" s="319"/>
      <c r="JEG47" s="319"/>
      <c r="JEH47" s="319"/>
      <c r="JEI47" s="319"/>
      <c r="JEJ47" s="319"/>
      <c r="JEK47" s="319"/>
      <c r="JEL47" s="319"/>
      <c r="JEM47" s="319"/>
      <c r="JEN47" s="319"/>
      <c r="JEO47" s="319"/>
      <c r="JEP47" s="319"/>
      <c r="JEQ47" s="319"/>
      <c r="JER47" s="319"/>
      <c r="JES47" s="319"/>
      <c r="JET47" s="319"/>
      <c r="JEU47" s="319"/>
      <c r="JEV47" s="319"/>
      <c r="JEW47" s="319"/>
      <c r="JEX47" s="319"/>
      <c r="JEY47" s="319"/>
      <c r="JEZ47" s="319"/>
      <c r="JFA47" s="319"/>
      <c r="JFB47" s="319"/>
      <c r="JFC47" s="319"/>
      <c r="JFD47" s="319"/>
      <c r="JFE47" s="319"/>
      <c r="JFF47" s="319"/>
      <c r="JFG47" s="319"/>
      <c r="JFH47" s="319"/>
      <c r="JFI47" s="319"/>
      <c r="JFJ47" s="319"/>
      <c r="JFK47" s="319"/>
      <c r="JFL47" s="319"/>
      <c r="JFM47" s="319"/>
      <c r="JFN47" s="319"/>
      <c r="JFO47" s="319"/>
      <c r="JFP47" s="319"/>
      <c r="JFQ47" s="319"/>
      <c r="JFR47" s="319"/>
      <c r="JFS47" s="319"/>
      <c r="JFT47" s="319"/>
      <c r="JFU47" s="319"/>
      <c r="JFV47" s="319"/>
      <c r="JFW47" s="319"/>
      <c r="JFX47" s="319"/>
      <c r="JFY47" s="319"/>
      <c r="JFZ47" s="319"/>
      <c r="JGA47" s="319"/>
      <c r="JGB47" s="319"/>
      <c r="JGC47" s="319"/>
      <c r="JGD47" s="319"/>
      <c r="JGE47" s="319"/>
      <c r="JGF47" s="319"/>
      <c r="JGG47" s="319"/>
      <c r="JGH47" s="319"/>
      <c r="JGI47" s="319"/>
      <c r="JGJ47" s="319"/>
      <c r="JGK47" s="319"/>
      <c r="JGL47" s="319"/>
      <c r="JGM47" s="319"/>
      <c r="JGN47" s="319"/>
      <c r="JGO47" s="319"/>
      <c r="JGP47" s="319"/>
      <c r="JGQ47" s="319"/>
      <c r="JGR47" s="319"/>
      <c r="JGS47" s="319"/>
      <c r="JGT47" s="319"/>
      <c r="JGU47" s="319"/>
      <c r="JGV47" s="319"/>
      <c r="JGW47" s="319"/>
      <c r="JGX47" s="319"/>
      <c r="JGY47" s="319"/>
      <c r="JGZ47" s="319"/>
      <c r="JHA47" s="319"/>
      <c r="JHB47" s="319"/>
      <c r="JHC47" s="319"/>
      <c r="JHD47" s="319"/>
      <c r="JHE47" s="319"/>
      <c r="JHF47" s="319"/>
      <c r="JHG47" s="319"/>
      <c r="JHH47" s="319"/>
      <c r="JHI47" s="319"/>
      <c r="JHJ47" s="319"/>
      <c r="JHK47" s="319"/>
      <c r="JHL47" s="319"/>
      <c r="JHM47" s="319"/>
      <c r="JHN47" s="319"/>
      <c r="JHO47" s="319"/>
      <c r="JHP47" s="319"/>
      <c r="JHQ47" s="319"/>
      <c r="JHR47" s="319"/>
      <c r="JHS47" s="319"/>
      <c r="JHT47" s="319"/>
      <c r="JHU47" s="319"/>
      <c r="JHV47" s="319"/>
      <c r="JHW47" s="319"/>
      <c r="JHX47" s="319"/>
      <c r="JHY47" s="319"/>
      <c r="JHZ47" s="319"/>
      <c r="JIA47" s="319"/>
      <c r="JIB47" s="319"/>
      <c r="JIC47" s="319"/>
      <c r="JID47" s="319"/>
      <c r="JIE47" s="319"/>
      <c r="JIF47" s="319"/>
      <c r="JIG47" s="319"/>
      <c r="JIH47" s="319"/>
      <c r="JII47" s="319"/>
      <c r="JIJ47" s="319"/>
      <c r="JIK47" s="319"/>
      <c r="JIL47" s="319"/>
      <c r="JIM47" s="319"/>
      <c r="JIN47" s="319"/>
      <c r="JIO47" s="319"/>
      <c r="JIP47" s="319"/>
      <c r="JIQ47" s="319"/>
      <c r="JIR47" s="319"/>
      <c r="JIS47" s="319"/>
      <c r="JIT47" s="319"/>
      <c r="JIU47" s="319"/>
      <c r="JIV47" s="319"/>
      <c r="JIW47" s="319"/>
      <c r="JIX47" s="319"/>
      <c r="JIY47" s="319"/>
      <c r="JIZ47" s="319"/>
      <c r="JJA47" s="319"/>
      <c r="JJB47" s="319"/>
      <c r="JJC47" s="319"/>
      <c r="JJD47" s="319"/>
      <c r="JJE47" s="319"/>
      <c r="JJF47" s="319"/>
      <c r="JJG47" s="319"/>
      <c r="JJH47" s="319"/>
      <c r="JJI47" s="319"/>
      <c r="JJJ47" s="319"/>
      <c r="JJK47" s="319"/>
      <c r="JJL47" s="319"/>
      <c r="JJM47" s="319"/>
      <c r="JJN47" s="319"/>
      <c r="JJO47" s="319"/>
      <c r="JJP47" s="319"/>
      <c r="JJQ47" s="319"/>
      <c r="JJR47" s="319"/>
      <c r="JJS47" s="319"/>
      <c r="JJT47" s="319"/>
      <c r="JJU47" s="319"/>
      <c r="JJV47" s="319"/>
      <c r="JJW47" s="319"/>
      <c r="JJX47" s="319"/>
      <c r="JJY47" s="319"/>
      <c r="JJZ47" s="319"/>
      <c r="JKA47" s="319"/>
      <c r="JKB47" s="319"/>
      <c r="JKC47" s="319"/>
      <c r="JKD47" s="319"/>
      <c r="JKE47" s="319"/>
      <c r="JKF47" s="319"/>
      <c r="JKG47" s="319"/>
      <c r="JKH47" s="319"/>
      <c r="JKI47" s="319"/>
      <c r="JKJ47" s="319"/>
      <c r="JKK47" s="319"/>
      <c r="JKL47" s="319"/>
      <c r="JKM47" s="319"/>
      <c r="JKN47" s="319"/>
      <c r="JKO47" s="319"/>
      <c r="JKP47" s="319"/>
      <c r="JKQ47" s="319"/>
      <c r="JKR47" s="319"/>
      <c r="JKS47" s="319"/>
      <c r="JKT47" s="319"/>
      <c r="JKU47" s="319"/>
      <c r="JKV47" s="319"/>
      <c r="JKW47" s="319"/>
      <c r="JKX47" s="319"/>
      <c r="JKY47" s="319"/>
      <c r="JKZ47" s="319"/>
      <c r="JLA47" s="319"/>
      <c r="JLB47" s="319"/>
      <c r="JLC47" s="319"/>
      <c r="JLD47" s="319"/>
      <c r="JLE47" s="319"/>
      <c r="JLF47" s="319"/>
      <c r="JLG47" s="319"/>
      <c r="JLH47" s="319"/>
      <c r="JLI47" s="319"/>
      <c r="JLJ47" s="319"/>
      <c r="JLK47" s="319"/>
      <c r="JLL47" s="319"/>
      <c r="JLM47" s="319"/>
      <c r="JLN47" s="319"/>
      <c r="JLO47" s="319"/>
      <c r="JLP47" s="319"/>
      <c r="JLQ47" s="319"/>
      <c r="JLR47" s="319"/>
      <c r="JLS47" s="319"/>
      <c r="JLT47" s="319"/>
      <c r="JLU47" s="319"/>
      <c r="JLV47" s="319"/>
      <c r="JLW47" s="319"/>
      <c r="JLX47" s="319"/>
      <c r="JLY47" s="319"/>
      <c r="JLZ47" s="319"/>
      <c r="JMA47" s="319"/>
      <c r="JMB47" s="319"/>
      <c r="JMC47" s="319"/>
      <c r="JMD47" s="319"/>
      <c r="JME47" s="319"/>
      <c r="JMF47" s="319"/>
      <c r="JMG47" s="319"/>
      <c r="JMH47" s="319"/>
      <c r="JMI47" s="319"/>
      <c r="JMJ47" s="319"/>
      <c r="JMK47" s="319"/>
      <c r="JML47" s="319"/>
      <c r="JMM47" s="319"/>
      <c r="JMN47" s="319"/>
      <c r="JMO47" s="319"/>
      <c r="JMP47" s="319"/>
      <c r="JMQ47" s="319"/>
      <c r="JMR47" s="319"/>
      <c r="JMS47" s="319"/>
      <c r="JMT47" s="319"/>
      <c r="JMU47" s="319"/>
      <c r="JMV47" s="319"/>
      <c r="JMW47" s="319"/>
      <c r="JMX47" s="319"/>
      <c r="JMY47" s="319"/>
      <c r="JMZ47" s="319"/>
      <c r="JNA47" s="319"/>
      <c r="JNB47" s="319"/>
      <c r="JNC47" s="319"/>
      <c r="JND47" s="319"/>
      <c r="JNE47" s="319"/>
      <c r="JNF47" s="319"/>
      <c r="JNG47" s="319"/>
      <c r="JNH47" s="319"/>
      <c r="JNI47" s="319"/>
      <c r="JNJ47" s="319"/>
      <c r="JNK47" s="319"/>
      <c r="JNL47" s="319"/>
      <c r="JNM47" s="319"/>
      <c r="JNN47" s="319"/>
      <c r="JNO47" s="319"/>
      <c r="JNP47" s="319"/>
      <c r="JNQ47" s="319"/>
      <c r="JNR47" s="319"/>
      <c r="JNS47" s="319"/>
      <c r="JNT47" s="319"/>
      <c r="JNU47" s="319"/>
      <c r="JNV47" s="319"/>
      <c r="JNW47" s="319"/>
      <c r="JNX47" s="319"/>
      <c r="JNY47" s="319"/>
      <c r="JNZ47" s="319"/>
      <c r="JOA47" s="319"/>
      <c r="JOB47" s="319"/>
      <c r="JOC47" s="319"/>
      <c r="JOD47" s="319"/>
      <c r="JOE47" s="319"/>
      <c r="JOF47" s="319"/>
      <c r="JOG47" s="319"/>
      <c r="JOH47" s="319"/>
      <c r="JOI47" s="319"/>
      <c r="JOJ47" s="319"/>
      <c r="JOK47" s="319"/>
      <c r="JOL47" s="319"/>
      <c r="JOM47" s="319"/>
      <c r="JON47" s="319"/>
      <c r="JOO47" s="319"/>
      <c r="JOP47" s="319"/>
      <c r="JOQ47" s="319"/>
      <c r="JOR47" s="319"/>
      <c r="JOS47" s="319"/>
      <c r="JOT47" s="319"/>
      <c r="JOU47" s="319"/>
      <c r="JOV47" s="319"/>
      <c r="JOW47" s="319"/>
      <c r="JOX47" s="319"/>
      <c r="JOY47" s="319"/>
      <c r="JOZ47" s="319"/>
      <c r="JPA47" s="319"/>
      <c r="JPB47" s="319"/>
      <c r="JPC47" s="319"/>
      <c r="JPD47" s="319"/>
      <c r="JPE47" s="319"/>
      <c r="JPF47" s="319"/>
      <c r="JPG47" s="319"/>
      <c r="JPH47" s="319"/>
      <c r="JPI47" s="319"/>
      <c r="JPJ47" s="319"/>
      <c r="JPK47" s="319"/>
      <c r="JPL47" s="319"/>
      <c r="JPM47" s="319"/>
      <c r="JPN47" s="319"/>
      <c r="JPO47" s="319"/>
      <c r="JPP47" s="319"/>
      <c r="JPQ47" s="319"/>
      <c r="JPR47" s="319"/>
      <c r="JPS47" s="319"/>
      <c r="JPT47" s="319"/>
      <c r="JPU47" s="319"/>
      <c r="JPV47" s="319"/>
      <c r="JPW47" s="319"/>
      <c r="JPX47" s="319"/>
      <c r="JPY47" s="319"/>
      <c r="JPZ47" s="319"/>
      <c r="JQA47" s="319"/>
      <c r="JQB47" s="319"/>
      <c r="JQC47" s="319"/>
      <c r="JQD47" s="319"/>
      <c r="JQE47" s="319"/>
      <c r="JQF47" s="319"/>
      <c r="JQG47" s="319"/>
      <c r="JQH47" s="319"/>
      <c r="JQI47" s="319"/>
      <c r="JQJ47" s="319"/>
      <c r="JQK47" s="319"/>
      <c r="JQL47" s="319"/>
      <c r="JQM47" s="319"/>
      <c r="JQN47" s="319"/>
      <c r="JQO47" s="319"/>
      <c r="JQP47" s="319"/>
      <c r="JQQ47" s="319"/>
      <c r="JQR47" s="319"/>
      <c r="JQS47" s="319"/>
      <c r="JQT47" s="319"/>
      <c r="JQU47" s="319"/>
      <c r="JQV47" s="319"/>
      <c r="JQW47" s="319"/>
      <c r="JQX47" s="319"/>
      <c r="JQY47" s="319"/>
      <c r="JQZ47" s="319"/>
      <c r="JRA47" s="319"/>
      <c r="JRB47" s="319"/>
      <c r="JRC47" s="319"/>
      <c r="JRD47" s="319"/>
      <c r="JRE47" s="319"/>
      <c r="JRF47" s="319"/>
      <c r="JRG47" s="319"/>
      <c r="JRH47" s="319"/>
      <c r="JRI47" s="319"/>
      <c r="JRJ47" s="319"/>
      <c r="JRK47" s="319"/>
      <c r="JRL47" s="319"/>
      <c r="JRM47" s="319"/>
      <c r="JRN47" s="319"/>
      <c r="JRO47" s="319"/>
      <c r="JRP47" s="319"/>
      <c r="JRQ47" s="319"/>
      <c r="JRR47" s="319"/>
      <c r="JRS47" s="319"/>
      <c r="JRT47" s="319"/>
      <c r="JRU47" s="319"/>
      <c r="JRV47" s="319"/>
      <c r="JRW47" s="319"/>
      <c r="JRX47" s="319"/>
      <c r="JRY47" s="319"/>
      <c r="JRZ47" s="319"/>
      <c r="JSA47" s="319"/>
      <c r="JSB47" s="319"/>
      <c r="JSC47" s="319"/>
      <c r="JSD47" s="319"/>
      <c r="JSE47" s="319"/>
      <c r="JSF47" s="319"/>
      <c r="JSG47" s="319"/>
      <c r="JSH47" s="319"/>
      <c r="JSI47" s="319"/>
      <c r="JSJ47" s="319"/>
      <c r="JSK47" s="319"/>
      <c r="JSL47" s="319"/>
      <c r="JSM47" s="319"/>
      <c r="JSN47" s="319"/>
      <c r="JSO47" s="319"/>
      <c r="JSP47" s="319"/>
      <c r="JSQ47" s="319"/>
      <c r="JSR47" s="319"/>
      <c r="JSS47" s="319"/>
      <c r="JST47" s="319"/>
      <c r="JSU47" s="319"/>
      <c r="JSV47" s="319"/>
      <c r="JSW47" s="319"/>
      <c r="JSX47" s="319"/>
      <c r="JSY47" s="319"/>
      <c r="JSZ47" s="319"/>
      <c r="JTA47" s="319"/>
      <c r="JTB47" s="319"/>
      <c r="JTC47" s="319"/>
      <c r="JTD47" s="319"/>
      <c r="JTE47" s="319"/>
      <c r="JTF47" s="319"/>
      <c r="JTG47" s="319"/>
      <c r="JTH47" s="319"/>
      <c r="JTI47" s="319"/>
      <c r="JTJ47" s="319"/>
      <c r="JTK47" s="319"/>
      <c r="JTL47" s="319"/>
      <c r="JTM47" s="319"/>
      <c r="JTN47" s="319"/>
      <c r="JTO47" s="319"/>
      <c r="JTP47" s="319"/>
      <c r="JTQ47" s="319"/>
      <c r="JTR47" s="319"/>
      <c r="JTS47" s="319"/>
      <c r="JTT47" s="319"/>
      <c r="JTU47" s="319"/>
      <c r="JTV47" s="319"/>
      <c r="JTW47" s="319"/>
      <c r="JTX47" s="319"/>
      <c r="JTY47" s="319"/>
      <c r="JTZ47" s="319"/>
      <c r="JUA47" s="319"/>
      <c r="JUB47" s="319"/>
      <c r="JUC47" s="319"/>
      <c r="JUD47" s="319"/>
      <c r="JUE47" s="319"/>
      <c r="JUF47" s="319"/>
      <c r="JUG47" s="319"/>
      <c r="JUH47" s="319"/>
      <c r="JUI47" s="319"/>
      <c r="JUJ47" s="319"/>
      <c r="JUK47" s="319"/>
      <c r="JUL47" s="319"/>
      <c r="JUM47" s="319"/>
      <c r="JUN47" s="319"/>
      <c r="JUO47" s="319"/>
      <c r="JUP47" s="319"/>
      <c r="JUQ47" s="319"/>
      <c r="JUR47" s="319"/>
      <c r="JUS47" s="319"/>
      <c r="JUT47" s="319"/>
      <c r="JUU47" s="319"/>
      <c r="JUV47" s="319"/>
      <c r="JUW47" s="319"/>
      <c r="JUX47" s="319"/>
      <c r="JUY47" s="319"/>
      <c r="JUZ47" s="319"/>
      <c r="JVA47" s="319"/>
      <c r="JVB47" s="319"/>
      <c r="JVC47" s="319"/>
      <c r="JVD47" s="319"/>
      <c r="JVE47" s="319"/>
      <c r="JVF47" s="319"/>
      <c r="JVG47" s="319"/>
      <c r="JVH47" s="319"/>
      <c r="JVI47" s="319"/>
      <c r="JVJ47" s="319"/>
      <c r="JVK47" s="319"/>
      <c r="JVL47" s="319"/>
      <c r="JVM47" s="319"/>
      <c r="JVN47" s="319"/>
      <c r="JVO47" s="319"/>
      <c r="JVP47" s="319"/>
      <c r="JVQ47" s="319"/>
      <c r="JVR47" s="319"/>
      <c r="JVS47" s="319"/>
      <c r="JVT47" s="319"/>
      <c r="JVU47" s="319"/>
      <c r="JVV47" s="319"/>
      <c r="JVW47" s="319"/>
      <c r="JVX47" s="319"/>
      <c r="JVY47" s="319"/>
      <c r="JVZ47" s="319"/>
      <c r="JWA47" s="319"/>
      <c r="JWB47" s="319"/>
      <c r="JWC47" s="319"/>
      <c r="JWD47" s="319"/>
      <c r="JWE47" s="319"/>
      <c r="JWF47" s="319"/>
      <c r="JWG47" s="319"/>
      <c r="JWH47" s="319"/>
      <c r="JWI47" s="319"/>
      <c r="JWJ47" s="319"/>
      <c r="JWK47" s="319"/>
      <c r="JWL47" s="319"/>
      <c r="JWM47" s="319"/>
      <c r="JWN47" s="319"/>
      <c r="JWO47" s="319"/>
      <c r="JWP47" s="319"/>
      <c r="JWQ47" s="319"/>
      <c r="JWR47" s="319"/>
      <c r="JWS47" s="319"/>
      <c r="JWT47" s="319"/>
      <c r="JWU47" s="319"/>
      <c r="JWV47" s="319"/>
      <c r="JWW47" s="319"/>
      <c r="JWX47" s="319"/>
      <c r="JWY47" s="319"/>
      <c r="JWZ47" s="319"/>
      <c r="JXA47" s="319"/>
      <c r="JXB47" s="319"/>
      <c r="JXC47" s="319"/>
      <c r="JXD47" s="319"/>
      <c r="JXE47" s="319"/>
      <c r="JXF47" s="319"/>
      <c r="JXG47" s="319"/>
      <c r="JXH47" s="319"/>
      <c r="JXI47" s="319"/>
      <c r="JXJ47" s="319"/>
      <c r="JXK47" s="319"/>
      <c r="JXL47" s="319"/>
      <c r="JXM47" s="319"/>
      <c r="JXN47" s="319"/>
      <c r="JXO47" s="319"/>
      <c r="JXP47" s="319"/>
      <c r="JXQ47" s="319"/>
      <c r="JXR47" s="319"/>
      <c r="JXS47" s="319"/>
      <c r="JXT47" s="319"/>
      <c r="JXU47" s="319"/>
      <c r="JXV47" s="319"/>
      <c r="JXW47" s="319"/>
      <c r="JXX47" s="319"/>
      <c r="JXY47" s="319"/>
      <c r="JXZ47" s="319"/>
      <c r="JYA47" s="319"/>
      <c r="JYB47" s="319"/>
      <c r="JYC47" s="319"/>
      <c r="JYD47" s="319"/>
      <c r="JYE47" s="319"/>
      <c r="JYF47" s="319"/>
      <c r="JYG47" s="319"/>
      <c r="JYH47" s="319"/>
      <c r="JYI47" s="319"/>
      <c r="JYJ47" s="319"/>
      <c r="JYK47" s="319"/>
      <c r="JYL47" s="319"/>
      <c r="JYM47" s="319"/>
      <c r="JYN47" s="319"/>
      <c r="JYO47" s="319"/>
      <c r="JYP47" s="319"/>
      <c r="JYQ47" s="319"/>
      <c r="JYR47" s="319"/>
      <c r="JYS47" s="319"/>
      <c r="JYT47" s="319"/>
      <c r="JYU47" s="319"/>
      <c r="JYV47" s="319"/>
      <c r="JYW47" s="319"/>
      <c r="JYX47" s="319"/>
      <c r="JYY47" s="319"/>
      <c r="JYZ47" s="319"/>
      <c r="JZA47" s="319"/>
      <c r="JZB47" s="319"/>
      <c r="JZC47" s="319"/>
      <c r="JZD47" s="319"/>
      <c r="JZE47" s="319"/>
      <c r="JZF47" s="319"/>
      <c r="JZG47" s="319"/>
      <c r="JZH47" s="319"/>
      <c r="JZI47" s="319"/>
      <c r="JZJ47" s="319"/>
      <c r="JZK47" s="319"/>
      <c r="JZL47" s="319"/>
      <c r="JZM47" s="319"/>
      <c r="JZN47" s="319"/>
      <c r="JZO47" s="319"/>
      <c r="JZP47" s="319"/>
      <c r="JZQ47" s="319"/>
      <c r="JZR47" s="319"/>
      <c r="JZS47" s="319"/>
      <c r="JZT47" s="319"/>
      <c r="JZU47" s="319"/>
      <c r="JZV47" s="319"/>
      <c r="JZW47" s="319"/>
      <c r="JZX47" s="319"/>
      <c r="JZY47" s="319"/>
      <c r="JZZ47" s="319"/>
      <c r="KAA47" s="319"/>
      <c r="KAB47" s="319"/>
      <c r="KAC47" s="319"/>
      <c r="KAD47" s="319"/>
      <c r="KAE47" s="319"/>
      <c r="KAF47" s="319"/>
      <c r="KAG47" s="319"/>
      <c r="KAH47" s="319"/>
      <c r="KAI47" s="319"/>
      <c r="KAJ47" s="319"/>
      <c r="KAK47" s="319"/>
      <c r="KAL47" s="319"/>
      <c r="KAM47" s="319"/>
      <c r="KAN47" s="319"/>
      <c r="KAO47" s="319"/>
      <c r="KAP47" s="319"/>
      <c r="KAQ47" s="319"/>
      <c r="KAR47" s="319"/>
      <c r="KAS47" s="319"/>
      <c r="KAT47" s="319"/>
      <c r="KAU47" s="319"/>
      <c r="KAV47" s="319"/>
      <c r="KAW47" s="319"/>
      <c r="KAX47" s="319"/>
      <c r="KAY47" s="319"/>
      <c r="KAZ47" s="319"/>
      <c r="KBA47" s="319"/>
      <c r="KBB47" s="319"/>
      <c r="KBC47" s="319"/>
      <c r="KBD47" s="319"/>
      <c r="KBE47" s="319"/>
      <c r="KBF47" s="319"/>
      <c r="KBG47" s="319"/>
      <c r="KBH47" s="319"/>
      <c r="KBI47" s="319"/>
      <c r="KBJ47" s="319"/>
      <c r="KBK47" s="319"/>
      <c r="KBL47" s="319"/>
      <c r="KBM47" s="319"/>
      <c r="KBN47" s="319"/>
      <c r="KBO47" s="319"/>
      <c r="KBP47" s="319"/>
      <c r="KBQ47" s="319"/>
      <c r="KBR47" s="319"/>
      <c r="KBS47" s="319"/>
      <c r="KBT47" s="319"/>
      <c r="KBU47" s="319"/>
      <c r="KBV47" s="319"/>
      <c r="KBW47" s="319"/>
      <c r="KBX47" s="319"/>
      <c r="KBY47" s="319"/>
      <c r="KBZ47" s="319"/>
      <c r="KCA47" s="319"/>
      <c r="KCB47" s="319"/>
      <c r="KCC47" s="319"/>
      <c r="KCD47" s="319"/>
      <c r="KCE47" s="319"/>
      <c r="KCF47" s="319"/>
      <c r="KCG47" s="319"/>
      <c r="KCH47" s="319"/>
      <c r="KCI47" s="319"/>
      <c r="KCJ47" s="319"/>
      <c r="KCK47" s="319"/>
      <c r="KCL47" s="319"/>
      <c r="KCM47" s="319"/>
      <c r="KCN47" s="319"/>
      <c r="KCO47" s="319"/>
      <c r="KCP47" s="319"/>
      <c r="KCQ47" s="319"/>
      <c r="KCR47" s="319"/>
      <c r="KCS47" s="319"/>
      <c r="KCT47" s="319"/>
      <c r="KCU47" s="319"/>
      <c r="KCV47" s="319"/>
      <c r="KCW47" s="319"/>
      <c r="KCX47" s="319"/>
      <c r="KCY47" s="319"/>
      <c r="KCZ47" s="319"/>
      <c r="KDA47" s="319"/>
      <c r="KDB47" s="319"/>
      <c r="KDC47" s="319"/>
      <c r="KDD47" s="319"/>
      <c r="KDE47" s="319"/>
      <c r="KDF47" s="319"/>
      <c r="KDG47" s="319"/>
      <c r="KDH47" s="319"/>
      <c r="KDI47" s="319"/>
      <c r="KDJ47" s="319"/>
      <c r="KDK47" s="319"/>
      <c r="KDL47" s="319"/>
      <c r="KDM47" s="319"/>
      <c r="KDN47" s="319"/>
      <c r="KDO47" s="319"/>
      <c r="KDP47" s="319"/>
      <c r="KDQ47" s="319"/>
      <c r="KDR47" s="319"/>
      <c r="KDS47" s="319"/>
      <c r="KDT47" s="319"/>
      <c r="KDU47" s="319"/>
      <c r="KDV47" s="319"/>
      <c r="KDW47" s="319"/>
      <c r="KDX47" s="319"/>
      <c r="KDY47" s="319"/>
      <c r="KDZ47" s="319"/>
      <c r="KEA47" s="319"/>
      <c r="KEB47" s="319"/>
      <c r="KEC47" s="319"/>
      <c r="KED47" s="319"/>
      <c r="KEE47" s="319"/>
      <c r="KEF47" s="319"/>
      <c r="KEG47" s="319"/>
      <c r="KEH47" s="319"/>
      <c r="KEI47" s="319"/>
      <c r="KEJ47" s="319"/>
      <c r="KEK47" s="319"/>
      <c r="KEL47" s="319"/>
      <c r="KEM47" s="319"/>
      <c r="KEN47" s="319"/>
      <c r="KEO47" s="319"/>
      <c r="KEP47" s="319"/>
      <c r="KEQ47" s="319"/>
      <c r="KER47" s="319"/>
      <c r="KES47" s="319"/>
      <c r="KET47" s="319"/>
      <c r="KEU47" s="319"/>
      <c r="KEV47" s="319"/>
      <c r="KEW47" s="319"/>
      <c r="KEX47" s="319"/>
      <c r="KEY47" s="319"/>
      <c r="KEZ47" s="319"/>
      <c r="KFA47" s="319"/>
      <c r="KFB47" s="319"/>
      <c r="KFC47" s="319"/>
      <c r="KFD47" s="319"/>
      <c r="KFE47" s="319"/>
      <c r="KFF47" s="319"/>
      <c r="KFG47" s="319"/>
      <c r="KFH47" s="319"/>
      <c r="KFI47" s="319"/>
      <c r="KFJ47" s="319"/>
      <c r="KFK47" s="319"/>
      <c r="KFL47" s="319"/>
      <c r="KFM47" s="319"/>
      <c r="KFN47" s="319"/>
      <c r="KFO47" s="319"/>
      <c r="KFP47" s="319"/>
      <c r="KFQ47" s="319"/>
      <c r="KFR47" s="319"/>
      <c r="KFS47" s="319"/>
      <c r="KFT47" s="319"/>
      <c r="KFU47" s="319"/>
      <c r="KFV47" s="319"/>
      <c r="KFW47" s="319"/>
      <c r="KFX47" s="319"/>
      <c r="KFY47" s="319"/>
      <c r="KFZ47" s="319"/>
      <c r="KGA47" s="319"/>
      <c r="KGB47" s="319"/>
      <c r="KGC47" s="319"/>
      <c r="KGD47" s="319"/>
      <c r="KGE47" s="319"/>
      <c r="KGF47" s="319"/>
      <c r="KGG47" s="319"/>
      <c r="KGH47" s="319"/>
      <c r="KGI47" s="319"/>
      <c r="KGJ47" s="319"/>
      <c r="KGK47" s="319"/>
      <c r="KGL47" s="319"/>
      <c r="KGM47" s="319"/>
      <c r="KGN47" s="319"/>
      <c r="KGO47" s="319"/>
      <c r="KGP47" s="319"/>
      <c r="KGQ47" s="319"/>
      <c r="KGR47" s="319"/>
      <c r="KGS47" s="319"/>
      <c r="KGT47" s="319"/>
      <c r="KGU47" s="319"/>
      <c r="KGV47" s="319"/>
      <c r="KGW47" s="319"/>
      <c r="KGX47" s="319"/>
      <c r="KGY47" s="319"/>
      <c r="KGZ47" s="319"/>
      <c r="KHA47" s="319"/>
      <c r="KHB47" s="319"/>
      <c r="KHC47" s="319"/>
      <c r="KHD47" s="319"/>
      <c r="KHE47" s="319"/>
      <c r="KHF47" s="319"/>
      <c r="KHG47" s="319"/>
      <c r="KHH47" s="319"/>
      <c r="KHI47" s="319"/>
      <c r="KHJ47" s="319"/>
      <c r="KHK47" s="319"/>
      <c r="KHL47" s="319"/>
      <c r="KHM47" s="319"/>
      <c r="KHN47" s="319"/>
      <c r="KHO47" s="319"/>
      <c r="KHP47" s="319"/>
      <c r="KHQ47" s="319"/>
      <c r="KHR47" s="319"/>
      <c r="KHS47" s="319"/>
      <c r="KHT47" s="319"/>
      <c r="KHU47" s="319"/>
      <c r="KHV47" s="319"/>
      <c r="KHW47" s="319"/>
      <c r="KHX47" s="319"/>
      <c r="KHY47" s="319"/>
      <c r="KHZ47" s="319"/>
      <c r="KIA47" s="319"/>
      <c r="KIB47" s="319"/>
      <c r="KIC47" s="319"/>
      <c r="KID47" s="319"/>
      <c r="KIE47" s="319"/>
      <c r="KIF47" s="319"/>
      <c r="KIG47" s="319"/>
      <c r="KIH47" s="319"/>
      <c r="KII47" s="319"/>
      <c r="KIJ47" s="319"/>
      <c r="KIK47" s="319"/>
      <c r="KIL47" s="319"/>
      <c r="KIM47" s="319"/>
      <c r="KIN47" s="319"/>
      <c r="KIO47" s="319"/>
      <c r="KIP47" s="319"/>
      <c r="KIQ47" s="319"/>
      <c r="KIR47" s="319"/>
      <c r="KIS47" s="319"/>
      <c r="KIT47" s="319"/>
      <c r="KIU47" s="319"/>
      <c r="KIV47" s="319"/>
      <c r="KIW47" s="319"/>
      <c r="KIX47" s="319"/>
      <c r="KIY47" s="319"/>
      <c r="KIZ47" s="319"/>
      <c r="KJA47" s="319"/>
      <c r="KJB47" s="319"/>
      <c r="KJC47" s="319"/>
      <c r="KJD47" s="319"/>
      <c r="KJE47" s="319"/>
      <c r="KJF47" s="319"/>
      <c r="KJG47" s="319"/>
      <c r="KJH47" s="319"/>
      <c r="KJI47" s="319"/>
      <c r="KJJ47" s="319"/>
      <c r="KJK47" s="319"/>
      <c r="KJL47" s="319"/>
      <c r="KJM47" s="319"/>
      <c r="KJN47" s="319"/>
      <c r="KJO47" s="319"/>
      <c r="KJP47" s="319"/>
      <c r="KJQ47" s="319"/>
      <c r="KJR47" s="319"/>
      <c r="KJS47" s="319"/>
      <c r="KJT47" s="319"/>
      <c r="KJU47" s="319"/>
      <c r="KJV47" s="319"/>
      <c r="KJW47" s="319"/>
      <c r="KJX47" s="319"/>
      <c r="KJY47" s="319"/>
      <c r="KJZ47" s="319"/>
      <c r="KKA47" s="319"/>
      <c r="KKB47" s="319"/>
      <c r="KKC47" s="319"/>
      <c r="KKD47" s="319"/>
      <c r="KKE47" s="319"/>
      <c r="KKF47" s="319"/>
      <c r="KKG47" s="319"/>
      <c r="KKH47" s="319"/>
      <c r="KKI47" s="319"/>
      <c r="KKJ47" s="319"/>
      <c r="KKK47" s="319"/>
      <c r="KKL47" s="319"/>
      <c r="KKM47" s="319"/>
      <c r="KKN47" s="319"/>
      <c r="KKO47" s="319"/>
      <c r="KKP47" s="319"/>
      <c r="KKQ47" s="319"/>
      <c r="KKR47" s="319"/>
      <c r="KKS47" s="319"/>
      <c r="KKT47" s="319"/>
      <c r="KKU47" s="319"/>
      <c r="KKV47" s="319"/>
      <c r="KKW47" s="319"/>
      <c r="KKX47" s="319"/>
      <c r="KKY47" s="319"/>
      <c r="KKZ47" s="319"/>
      <c r="KLA47" s="319"/>
      <c r="KLB47" s="319"/>
      <c r="KLC47" s="319"/>
      <c r="KLD47" s="319"/>
      <c r="KLE47" s="319"/>
      <c r="KLF47" s="319"/>
      <c r="KLG47" s="319"/>
      <c r="KLH47" s="319"/>
      <c r="KLI47" s="319"/>
      <c r="KLJ47" s="319"/>
      <c r="KLK47" s="319"/>
      <c r="KLL47" s="319"/>
      <c r="KLM47" s="319"/>
      <c r="KLN47" s="319"/>
      <c r="KLO47" s="319"/>
      <c r="KLP47" s="319"/>
      <c r="KLQ47" s="319"/>
      <c r="KLR47" s="319"/>
      <c r="KLS47" s="319"/>
      <c r="KLT47" s="319"/>
      <c r="KLU47" s="319"/>
      <c r="KLV47" s="319"/>
      <c r="KLW47" s="319"/>
      <c r="KLX47" s="319"/>
      <c r="KLY47" s="319"/>
      <c r="KLZ47" s="319"/>
      <c r="KMA47" s="319"/>
      <c r="KMB47" s="319"/>
      <c r="KMC47" s="319"/>
      <c r="KMD47" s="319"/>
      <c r="KME47" s="319"/>
      <c r="KMF47" s="319"/>
      <c r="KMG47" s="319"/>
      <c r="KMH47" s="319"/>
      <c r="KMI47" s="319"/>
      <c r="KMJ47" s="319"/>
      <c r="KMK47" s="319"/>
      <c r="KML47" s="319"/>
      <c r="KMM47" s="319"/>
      <c r="KMN47" s="319"/>
      <c r="KMO47" s="319"/>
      <c r="KMP47" s="319"/>
      <c r="KMQ47" s="319"/>
      <c r="KMR47" s="319"/>
      <c r="KMS47" s="319"/>
      <c r="KMT47" s="319"/>
      <c r="KMU47" s="319"/>
      <c r="KMV47" s="319"/>
      <c r="KMW47" s="319"/>
      <c r="KMX47" s="319"/>
      <c r="KMY47" s="319"/>
      <c r="KMZ47" s="319"/>
      <c r="KNA47" s="319"/>
      <c r="KNB47" s="319"/>
      <c r="KNC47" s="319"/>
      <c r="KND47" s="319"/>
      <c r="KNE47" s="319"/>
      <c r="KNF47" s="319"/>
      <c r="KNG47" s="319"/>
      <c r="KNH47" s="319"/>
      <c r="KNI47" s="319"/>
      <c r="KNJ47" s="319"/>
      <c r="KNK47" s="319"/>
      <c r="KNL47" s="319"/>
      <c r="KNM47" s="319"/>
      <c r="KNN47" s="319"/>
      <c r="KNO47" s="319"/>
      <c r="KNP47" s="319"/>
      <c r="KNQ47" s="319"/>
      <c r="KNR47" s="319"/>
      <c r="KNS47" s="319"/>
      <c r="KNT47" s="319"/>
      <c r="KNU47" s="319"/>
      <c r="KNV47" s="319"/>
      <c r="KNW47" s="319"/>
      <c r="KNX47" s="319"/>
      <c r="KNY47" s="319"/>
      <c r="KNZ47" s="319"/>
      <c r="KOA47" s="319"/>
      <c r="KOB47" s="319"/>
      <c r="KOC47" s="319"/>
      <c r="KOD47" s="319"/>
      <c r="KOE47" s="319"/>
      <c r="KOF47" s="319"/>
      <c r="KOG47" s="319"/>
      <c r="KOH47" s="319"/>
      <c r="KOI47" s="319"/>
      <c r="KOJ47" s="319"/>
      <c r="KOK47" s="319"/>
      <c r="KOL47" s="319"/>
      <c r="KOM47" s="319"/>
      <c r="KON47" s="319"/>
      <c r="KOO47" s="319"/>
      <c r="KOP47" s="319"/>
      <c r="KOQ47" s="319"/>
      <c r="KOR47" s="319"/>
      <c r="KOS47" s="319"/>
      <c r="KOT47" s="319"/>
      <c r="KOU47" s="319"/>
      <c r="KOV47" s="319"/>
      <c r="KOW47" s="319"/>
      <c r="KOX47" s="319"/>
      <c r="KOY47" s="319"/>
      <c r="KOZ47" s="319"/>
      <c r="KPA47" s="319"/>
      <c r="KPB47" s="319"/>
      <c r="KPC47" s="319"/>
      <c r="KPD47" s="319"/>
      <c r="KPE47" s="319"/>
      <c r="KPF47" s="319"/>
      <c r="KPG47" s="319"/>
      <c r="KPH47" s="319"/>
      <c r="KPI47" s="319"/>
      <c r="KPJ47" s="319"/>
      <c r="KPK47" s="319"/>
      <c r="KPL47" s="319"/>
      <c r="KPM47" s="319"/>
      <c r="KPN47" s="319"/>
      <c r="KPO47" s="319"/>
      <c r="KPP47" s="319"/>
      <c r="KPQ47" s="319"/>
      <c r="KPR47" s="319"/>
      <c r="KPS47" s="319"/>
      <c r="KPT47" s="319"/>
      <c r="KPU47" s="319"/>
      <c r="KPV47" s="319"/>
      <c r="KPW47" s="319"/>
      <c r="KPX47" s="319"/>
      <c r="KPY47" s="319"/>
      <c r="KPZ47" s="319"/>
      <c r="KQA47" s="319"/>
      <c r="KQB47" s="319"/>
      <c r="KQC47" s="319"/>
      <c r="KQD47" s="319"/>
      <c r="KQE47" s="319"/>
      <c r="KQF47" s="319"/>
      <c r="KQG47" s="319"/>
      <c r="KQH47" s="319"/>
      <c r="KQI47" s="319"/>
      <c r="KQJ47" s="319"/>
      <c r="KQK47" s="319"/>
      <c r="KQL47" s="319"/>
      <c r="KQM47" s="319"/>
      <c r="KQN47" s="319"/>
      <c r="KQO47" s="319"/>
      <c r="KQP47" s="319"/>
      <c r="KQQ47" s="319"/>
      <c r="KQR47" s="319"/>
      <c r="KQS47" s="319"/>
      <c r="KQT47" s="319"/>
      <c r="KQU47" s="319"/>
      <c r="KQV47" s="319"/>
      <c r="KQW47" s="319"/>
      <c r="KQX47" s="319"/>
      <c r="KQY47" s="319"/>
      <c r="KQZ47" s="319"/>
      <c r="KRA47" s="319"/>
      <c r="KRB47" s="319"/>
      <c r="KRC47" s="319"/>
      <c r="KRD47" s="319"/>
      <c r="KRE47" s="319"/>
      <c r="KRF47" s="319"/>
      <c r="KRG47" s="319"/>
      <c r="KRH47" s="319"/>
      <c r="KRI47" s="319"/>
      <c r="KRJ47" s="319"/>
      <c r="KRK47" s="319"/>
      <c r="KRL47" s="319"/>
      <c r="KRM47" s="319"/>
      <c r="KRN47" s="319"/>
      <c r="KRO47" s="319"/>
      <c r="KRP47" s="319"/>
      <c r="KRQ47" s="319"/>
      <c r="KRR47" s="319"/>
      <c r="KRS47" s="319"/>
      <c r="KRT47" s="319"/>
      <c r="KRU47" s="319"/>
      <c r="KRV47" s="319"/>
      <c r="KRW47" s="319"/>
      <c r="KRX47" s="319"/>
      <c r="KRY47" s="319"/>
      <c r="KRZ47" s="319"/>
      <c r="KSA47" s="319"/>
      <c r="KSB47" s="319"/>
      <c r="KSC47" s="319"/>
      <c r="KSD47" s="319"/>
      <c r="KSE47" s="319"/>
      <c r="KSF47" s="319"/>
      <c r="KSG47" s="319"/>
      <c r="KSH47" s="319"/>
      <c r="KSI47" s="319"/>
      <c r="KSJ47" s="319"/>
      <c r="KSK47" s="319"/>
      <c r="KSL47" s="319"/>
      <c r="KSM47" s="319"/>
      <c r="KSN47" s="319"/>
      <c r="KSO47" s="319"/>
      <c r="KSP47" s="319"/>
      <c r="KSQ47" s="319"/>
      <c r="KSR47" s="319"/>
      <c r="KSS47" s="319"/>
      <c r="KST47" s="319"/>
      <c r="KSU47" s="319"/>
      <c r="KSV47" s="319"/>
      <c r="KSW47" s="319"/>
      <c r="KSX47" s="319"/>
      <c r="KSY47" s="319"/>
      <c r="KSZ47" s="319"/>
      <c r="KTA47" s="319"/>
      <c r="KTB47" s="319"/>
      <c r="KTC47" s="319"/>
      <c r="KTD47" s="319"/>
      <c r="KTE47" s="319"/>
      <c r="KTF47" s="319"/>
      <c r="KTG47" s="319"/>
      <c r="KTH47" s="319"/>
      <c r="KTI47" s="319"/>
      <c r="KTJ47" s="319"/>
      <c r="KTK47" s="319"/>
      <c r="KTL47" s="319"/>
      <c r="KTM47" s="319"/>
      <c r="KTN47" s="319"/>
      <c r="KTO47" s="319"/>
      <c r="KTP47" s="319"/>
      <c r="KTQ47" s="319"/>
      <c r="KTR47" s="319"/>
      <c r="KTS47" s="319"/>
      <c r="KTT47" s="319"/>
      <c r="KTU47" s="319"/>
      <c r="KTV47" s="319"/>
      <c r="KTW47" s="319"/>
      <c r="KTX47" s="319"/>
      <c r="KTY47" s="319"/>
      <c r="KTZ47" s="319"/>
      <c r="KUA47" s="319"/>
      <c r="KUB47" s="319"/>
      <c r="KUC47" s="319"/>
      <c r="KUD47" s="319"/>
      <c r="KUE47" s="319"/>
      <c r="KUF47" s="319"/>
      <c r="KUG47" s="319"/>
      <c r="KUH47" s="319"/>
      <c r="KUI47" s="319"/>
      <c r="KUJ47" s="319"/>
      <c r="KUK47" s="319"/>
      <c r="KUL47" s="319"/>
      <c r="KUM47" s="319"/>
      <c r="KUN47" s="319"/>
      <c r="KUO47" s="319"/>
      <c r="KUP47" s="319"/>
      <c r="KUQ47" s="319"/>
      <c r="KUR47" s="319"/>
      <c r="KUS47" s="319"/>
      <c r="KUT47" s="319"/>
      <c r="KUU47" s="319"/>
      <c r="KUV47" s="319"/>
      <c r="KUW47" s="319"/>
      <c r="KUX47" s="319"/>
      <c r="KUY47" s="319"/>
      <c r="KUZ47" s="319"/>
      <c r="KVA47" s="319"/>
      <c r="KVB47" s="319"/>
      <c r="KVC47" s="319"/>
      <c r="KVD47" s="319"/>
      <c r="KVE47" s="319"/>
      <c r="KVF47" s="319"/>
      <c r="KVG47" s="319"/>
      <c r="KVH47" s="319"/>
      <c r="KVI47" s="319"/>
      <c r="KVJ47" s="319"/>
      <c r="KVK47" s="319"/>
      <c r="KVL47" s="319"/>
      <c r="KVM47" s="319"/>
      <c r="KVN47" s="319"/>
      <c r="KVO47" s="319"/>
      <c r="KVP47" s="319"/>
      <c r="KVQ47" s="319"/>
      <c r="KVR47" s="319"/>
      <c r="KVS47" s="319"/>
      <c r="KVT47" s="319"/>
      <c r="KVU47" s="319"/>
      <c r="KVV47" s="319"/>
      <c r="KVW47" s="319"/>
      <c r="KVX47" s="319"/>
      <c r="KVY47" s="319"/>
      <c r="KVZ47" s="319"/>
      <c r="KWA47" s="319"/>
      <c r="KWB47" s="319"/>
      <c r="KWC47" s="319"/>
      <c r="KWD47" s="319"/>
      <c r="KWE47" s="319"/>
      <c r="KWF47" s="319"/>
      <c r="KWG47" s="319"/>
      <c r="KWH47" s="319"/>
      <c r="KWI47" s="319"/>
      <c r="KWJ47" s="319"/>
      <c r="KWK47" s="319"/>
      <c r="KWL47" s="319"/>
      <c r="KWM47" s="319"/>
      <c r="KWN47" s="319"/>
      <c r="KWO47" s="319"/>
      <c r="KWP47" s="319"/>
      <c r="KWQ47" s="319"/>
      <c r="KWR47" s="319"/>
      <c r="KWS47" s="319"/>
      <c r="KWT47" s="319"/>
      <c r="KWU47" s="319"/>
      <c r="KWV47" s="319"/>
      <c r="KWW47" s="319"/>
      <c r="KWX47" s="319"/>
      <c r="KWY47" s="319"/>
      <c r="KWZ47" s="319"/>
      <c r="KXA47" s="319"/>
      <c r="KXB47" s="319"/>
      <c r="KXC47" s="319"/>
      <c r="KXD47" s="319"/>
      <c r="KXE47" s="319"/>
      <c r="KXF47" s="319"/>
      <c r="KXG47" s="319"/>
      <c r="KXH47" s="319"/>
      <c r="KXI47" s="319"/>
      <c r="KXJ47" s="319"/>
      <c r="KXK47" s="319"/>
      <c r="KXL47" s="319"/>
      <c r="KXM47" s="319"/>
      <c r="KXN47" s="319"/>
      <c r="KXO47" s="319"/>
      <c r="KXP47" s="319"/>
      <c r="KXQ47" s="319"/>
      <c r="KXR47" s="319"/>
      <c r="KXS47" s="319"/>
      <c r="KXT47" s="319"/>
      <c r="KXU47" s="319"/>
      <c r="KXV47" s="319"/>
      <c r="KXW47" s="319"/>
      <c r="KXX47" s="319"/>
      <c r="KXY47" s="319"/>
      <c r="KXZ47" s="319"/>
      <c r="KYA47" s="319"/>
      <c r="KYB47" s="319"/>
      <c r="KYC47" s="319"/>
      <c r="KYD47" s="319"/>
      <c r="KYE47" s="319"/>
      <c r="KYF47" s="319"/>
      <c r="KYG47" s="319"/>
      <c r="KYH47" s="319"/>
      <c r="KYI47" s="319"/>
      <c r="KYJ47" s="319"/>
      <c r="KYK47" s="319"/>
      <c r="KYL47" s="319"/>
      <c r="KYM47" s="319"/>
      <c r="KYN47" s="319"/>
      <c r="KYO47" s="319"/>
      <c r="KYP47" s="319"/>
      <c r="KYQ47" s="319"/>
      <c r="KYR47" s="319"/>
      <c r="KYS47" s="319"/>
      <c r="KYT47" s="319"/>
      <c r="KYU47" s="319"/>
      <c r="KYV47" s="319"/>
      <c r="KYW47" s="319"/>
      <c r="KYX47" s="319"/>
      <c r="KYY47" s="319"/>
      <c r="KYZ47" s="319"/>
      <c r="KZA47" s="319"/>
      <c r="KZB47" s="319"/>
      <c r="KZC47" s="319"/>
      <c r="KZD47" s="319"/>
      <c r="KZE47" s="319"/>
      <c r="KZF47" s="319"/>
      <c r="KZG47" s="319"/>
      <c r="KZH47" s="319"/>
      <c r="KZI47" s="319"/>
      <c r="KZJ47" s="319"/>
      <c r="KZK47" s="319"/>
      <c r="KZL47" s="319"/>
      <c r="KZM47" s="319"/>
      <c r="KZN47" s="319"/>
      <c r="KZO47" s="319"/>
      <c r="KZP47" s="319"/>
      <c r="KZQ47" s="319"/>
      <c r="KZR47" s="319"/>
      <c r="KZS47" s="319"/>
      <c r="KZT47" s="319"/>
      <c r="KZU47" s="319"/>
      <c r="KZV47" s="319"/>
      <c r="KZW47" s="319"/>
      <c r="KZX47" s="319"/>
      <c r="KZY47" s="319"/>
      <c r="KZZ47" s="319"/>
      <c r="LAA47" s="319"/>
      <c r="LAB47" s="319"/>
      <c r="LAC47" s="319"/>
      <c r="LAD47" s="319"/>
      <c r="LAE47" s="319"/>
      <c r="LAF47" s="319"/>
      <c r="LAG47" s="319"/>
      <c r="LAH47" s="319"/>
      <c r="LAI47" s="319"/>
      <c r="LAJ47" s="319"/>
      <c r="LAK47" s="319"/>
      <c r="LAL47" s="319"/>
      <c r="LAM47" s="319"/>
      <c r="LAN47" s="319"/>
      <c r="LAO47" s="319"/>
      <c r="LAP47" s="319"/>
      <c r="LAQ47" s="319"/>
      <c r="LAR47" s="319"/>
      <c r="LAS47" s="319"/>
      <c r="LAT47" s="319"/>
      <c r="LAU47" s="319"/>
      <c r="LAV47" s="319"/>
      <c r="LAW47" s="319"/>
      <c r="LAX47" s="319"/>
      <c r="LAY47" s="319"/>
      <c r="LAZ47" s="319"/>
      <c r="LBA47" s="319"/>
      <c r="LBB47" s="319"/>
      <c r="LBC47" s="319"/>
      <c r="LBD47" s="319"/>
      <c r="LBE47" s="319"/>
      <c r="LBF47" s="319"/>
      <c r="LBG47" s="319"/>
      <c r="LBH47" s="319"/>
      <c r="LBI47" s="319"/>
      <c r="LBJ47" s="319"/>
      <c r="LBK47" s="319"/>
      <c r="LBL47" s="319"/>
      <c r="LBM47" s="319"/>
      <c r="LBN47" s="319"/>
      <c r="LBO47" s="319"/>
      <c r="LBP47" s="319"/>
      <c r="LBQ47" s="319"/>
      <c r="LBR47" s="319"/>
      <c r="LBS47" s="319"/>
      <c r="LBT47" s="319"/>
      <c r="LBU47" s="319"/>
      <c r="LBV47" s="319"/>
      <c r="LBW47" s="319"/>
      <c r="LBX47" s="319"/>
      <c r="LBY47" s="319"/>
      <c r="LBZ47" s="319"/>
      <c r="LCA47" s="319"/>
      <c r="LCB47" s="319"/>
      <c r="LCC47" s="319"/>
      <c r="LCD47" s="319"/>
      <c r="LCE47" s="319"/>
      <c r="LCF47" s="319"/>
      <c r="LCG47" s="319"/>
      <c r="LCH47" s="319"/>
      <c r="LCI47" s="319"/>
      <c r="LCJ47" s="319"/>
      <c r="LCK47" s="319"/>
      <c r="LCL47" s="319"/>
      <c r="LCM47" s="319"/>
      <c r="LCN47" s="319"/>
      <c r="LCO47" s="319"/>
      <c r="LCP47" s="319"/>
      <c r="LCQ47" s="319"/>
      <c r="LCR47" s="319"/>
      <c r="LCS47" s="319"/>
      <c r="LCT47" s="319"/>
      <c r="LCU47" s="319"/>
      <c r="LCV47" s="319"/>
      <c r="LCW47" s="319"/>
      <c r="LCX47" s="319"/>
      <c r="LCY47" s="319"/>
      <c r="LCZ47" s="319"/>
      <c r="LDA47" s="319"/>
      <c r="LDB47" s="319"/>
      <c r="LDC47" s="319"/>
      <c r="LDD47" s="319"/>
      <c r="LDE47" s="319"/>
      <c r="LDF47" s="319"/>
      <c r="LDG47" s="319"/>
      <c r="LDH47" s="319"/>
      <c r="LDI47" s="319"/>
      <c r="LDJ47" s="319"/>
      <c r="LDK47" s="319"/>
      <c r="LDL47" s="319"/>
      <c r="LDM47" s="319"/>
      <c r="LDN47" s="319"/>
      <c r="LDO47" s="319"/>
      <c r="LDP47" s="319"/>
      <c r="LDQ47" s="319"/>
      <c r="LDR47" s="319"/>
      <c r="LDS47" s="319"/>
      <c r="LDT47" s="319"/>
      <c r="LDU47" s="319"/>
      <c r="LDV47" s="319"/>
      <c r="LDW47" s="319"/>
      <c r="LDX47" s="319"/>
      <c r="LDY47" s="319"/>
      <c r="LDZ47" s="319"/>
      <c r="LEA47" s="319"/>
      <c r="LEB47" s="319"/>
      <c r="LEC47" s="319"/>
      <c r="LED47" s="319"/>
      <c r="LEE47" s="319"/>
      <c r="LEF47" s="319"/>
      <c r="LEG47" s="319"/>
      <c r="LEH47" s="319"/>
      <c r="LEI47" s="319"/>
      <c r="LEJ47" s="319"/>
      <c r="LEK47" s="319"/>
      <c r="LEL47" s="319"/>
      <c r="LEM47" s="319"/>
      <c r="LEN47" s="319"/>
      <c r="LEO47" s="319"/>
      <c r="LEP47" s="319"/>
      <c r="LEQ47" s="319"/>
      <c r="LER47" s="319"/>
      <c r="LES47" s="319"/>
      <c r="LET47" s="319"/>
      <c r="LEU47" s="319"/>
      <c r="LEV47" s="319"/>
      <c r="LEW47" s="319"/>
      <c r="LEX47" s="319"/>
      <c r="LEY47" s="319"/>
      <c r="LEZ47" s="319"/>
      <c r="LFA47" s="319"/>
      <c r="LFB47" s="319"/>
      <c r="LFC47" s="319"/>
      <c r="LFD47" s="319"/>
      <c r="LFE47" s="319"/>
      <c r="LFF47" s="319"/>
      <c r="LFG47" s="319"/>
      <c r="LFH47" s="319"/>
      <c r="LFI47" s="319"/>
      <c r="LFJ47" s="319"/>
      <c r="LFK47" s="319"/>
      <c r="LFL47" s="319"/>
      <c r="LFM47" s="319"/>
      <c r="LFN47" s="319"/>
      <c r="LFO47" s="319"/>
      <c r="LFP47" s="319"/>
      <c r="LFQ47" s="319"/>
      <c r="LFR47" s="319"/>
      <c r="LFS47" s="319"/>
      <c r="LFT47" s="319"/>
      <c r="LFU47" s="319"/>
      <c r="LFV47" s="319"/>
      <c r="LFW47" s="319"/>
      <c r="LFX47" s="319"/>
      <c r="LFY47" s="319"/>
      <c r="LFZ47" s="319"/>
      <c r="LGA47" s="319"/>
      <c r="LGB47" s="319"/>
      <c r="LGC47" s="319"/>
      <c r="LGD47" s="319"/>
      <c r="LGE47" s="319"/>
      <c r="LGF47" s="319"/>
      <c r="LGG47" s="319"/>
      <c r="LGH47" s="319"/>
      <c r="LGI47" s="319"/>
      <c r="LGJ47" s="319"/>
      <c r="LGK47" s="319"/>
      <c r="LGL47" s="319"/>
      <c r="LGM47" s="319"/>
      <c r="LGN47" s="319"/>
      <c r="LGO47" s="319"/>
      <c r="LGP47" s="319"/>
      <c r="LGQ47" s="319"/>
      <c r="LGR47" s="319"/>
      <c r="LGS47" s="319"/>
      <c r="LGT47" s="319"/>
      <c r="LGU47" s="319"/>
      <c r="LGV47" s="319"/>
      <c r="LGW47" s="319"/>
      <c r="LGX47" s="319"/>
      <c r="LGY47" s="319"/>
      <c r="LGZ47" s="319"/>
      <c r="LHA47" s="319"/>
      <c r="LHB47" s="319"/>
      <c r="LHC47" s="319"/>
      <c r="LHD47" s="319"/>
      <c r="LHE47" s="319"/>
      <c r="LHF47" s="319"/>
      <c r="LHG47" s="319"/>
      <c r="LHH47" s="319"/>
      <c r="LHI47" s="319"/>
      <c r="LHJ47" s="319"/>
      <c r="LHK47" s="319"/>
      <c r="LHL47" s="319"/>
      <c r="LHM47" s="319"/>
      <c r="LHN47" s="319"/>
      <c r="LHO47" s="319"/>
      <c r="LHP47" s="319"/>
      <c r="LHQ47" s="319"/>
      <c r="LHR47" s="319"/>
      <c r="LHS47" s="319"/>
      <c r="LHT47" s="319"/>
      <c r="LHU47" s="319"/>
      <c r="LHV47" s="319"/>
      <c r="LHW47" s="319"/>
      <c r="LHX47" s="319"/>
      <c r="LHY47" s="319"/>
      <c r="LHZ47" s="319"/>
      <c r="LIA47" s="319"/>
      <c r="LIB47" s="319"/>
      <c r="LIC47" s="319"/>
      <c r="LID47" s="319"/>
      <c r="LIE47" s="319"/>
      <c r="LIF47" s="319"/>
      <c r="LIG47" s="319"/>
      <c r="LIH47" s="319"/>
      <c r="LII47" s="319"/>
      <c r="LIJ47" s="319"/>
      <c r="LIK47" s="319"/>
      <c r="LIL47" s="319"/>
      <c r="LIM47" s="319"/>
      <c r="LIN47" s="319"/>
      <c r="LIO47" s="319"/>
      <c r="LIP47" s="319"/>
      <c r="LIQ47" s="319"/>
      <c r="LIR47" s="319"/>
      <c r="LIS47" s="319"/>
      <c r="LIT47" s="319"/>
      <c r="LIU47" s="319"/>
      <c r="LIV47" s="319"/>
      <c r="LIW47" s="319"/>
      <c r="LIX47" s="319"/>
      <c r="LIY47" s="319"/>
      <c r="LIZ47" s="319"/>
      <c r="LJA47" s="319"/>
      <c r="LJB47" s="319"/>
      <c r="LJC47" s="319"/>
      <c r="LJD47" s="319"/>
      <c r="LJE47" s="319"/>
      <c r="LJF47" s="319"/>
      <c r="LJG47" s="319"/>
      <c r="LJH47" s="319"/>
      <c r="LJI47" s="319"/>
      <c r="LJJ47" s="319"/>
      <c r="LJK47" s="319"/>
      <c r="LJL47" s="319"/>
      <c r="LJM47" s="319"/>
      <c r="LJN47" s="319"/>
      <c r="LJO47" s="319"/>
      <c r="LJP47" s="319"/>
      <c r="LJQ47" s="319"/>
      <c r="LJR47" s="319"/>
      <c r="LJS47" s="319"/>
      <c r="LJT47" s="319"/>
      <c r="LJU47" s="319"/>
      <c r="LJV47" s="319"/>
      <c r="LJW47" s="319"/>
      <c r="LJX47" s="319"/>
      <c r="LJY47" s="319"/>
      <c r="LJZ47" s="319"/>
      <c r="LKA47" s="319"/>
      <c r="LKB47" s="319"/>
      <c r="LKC47" s="319"/>
      <c r="LKD47" s="319"/>
      <c r="LKE47" s="319"/>
      <c r="LKF47" s="319"/>
      <c r="LKG47" s="319"/>
      <c r="LKH47" s="319"/>
      <c r="LKI47" s="319"/>
      <c r="LKJ47" s="319"/>
      <c r="LKK47" s="319"/>
      <c r="LKL47" s="319"/>
      <c r="LKM47" s="319"/>
      <c r="LKN47" s="319"/>
      <c r="LKO47" s="319"/>
      <c r="LKP47" s="319"/>
      <c r="LKQ47" s="319"/>
      <c r="LKR47" s="319"/>
      <c r="LKS47" s="319"/>
      <c r="LKT47" s="319"/>
      <c r="LKU47" s="319"/>
      <c r="LKV47" s="319"/>
      <c r="LKW47" s="319"/>
      <c r="LKX47" s="319"/>
      <c r="LKY47" s="319"/>
      <c r="LKZ47" s="319"/>
      <c r="LLA47" s="319"/>
      <c r="LLB47" s="319"/>
      <c r="LLC47" s="319"/>
      <c r="LLD47" s="319"/>
      <c r="LLE47" s="319"/>
      <c r="LLF47" s="319"/>
      <c r="LLG47" s="319"/>
      <c r="LLH47" s="319"/>
      <c r="LLI47" s="319"/>
      <c r="LLJ47" s="319"/>
      <c r="LLK47" s="319"/>
      <c r="LLL47" s="319"/>
      <c r="LLM47" s="319"/>
      <c r="LLN47" s="319"/>
      <c r="LLO47" s="319"/>
      <c r="LLP47" s="319"/>
      <c r="LLQ47" s="319"/>
      <c r="LLR47" s="319"/>
      <c r="LLS47" s="319"/>
      <c r="LLT47" s="319"/>
      <c r="LLU47" s="319"/>
      <c r="LLV47" s="319"/>
      <c r="LLW47" s="319"/>
      <c r="LLX47" s="319"/>
      <c r="LLY47" s="319"/>
      <c r="LLZ47" s="319"/>
      <c r="LMA47" s="319"/>
      <c r="LMB47" s="319"/>
      <c r="LMC47" s="319"/>
      <c r="LMD47" s="319"/>
      <c r="LME47" s="319"/>
      <c r="LMF47" s="319"/>
      <c r="LMG47" s="319"/>
      <c r="LMH47" s="319"/>
      <c r="LMI47" s="319"/>
      <c r="LMJ47" s="319"/>
      <c r="LMK47" s="319"/>
      <c r="LML47" s="319"/>
      <c r="LMM47" s="319"/>
      <c r="LMN47" s="319"/>
      <c r="LMO47" s="319"/>
      <c r="LMP47" s="319"/>
      <c r="LMQ47" s="319"/>
      <c r="LMR47" s="319"/>
      <c r="LMS47" s="319"/>
      <c r="LMT47" s="319"/>
      <c r="LMU47" s="319"/>
      <c r="LMV47" s="319"/>
      <c r="LMW47" s="319"/>
      <c r="LMX47" s="319"/>
      <c r="LMY47" s="319"/>
      <c r="LMZ47" s="319"/>
      <c r="LNA47" s="319"/>
      <c r="LNB47" s="319"/>
      <c r="LNC47" s="319"/>
      <c r="LND47" s="319"/>
      <c r="LNE47" s="319"/>
      <c r="LNF47" s="319"/>
      <c r="LNG47" s="319"/>
      <c r="LNH47" s="319"/>
      <c r="LNI47" s="319"/>
      <c r="LNJ47" s="319"/>
      <c r="LNK47" s="319"/>
      <c r="LNL47" s="319"/>
      <c r="LNM47" s="319"/>
      <c r="LNN47" s="319"/>
      <c r="LNO47" s="319"/>
      <c r="LNP47" s="319"/>
      <c r="LNQ47" s="319"/>
      <c r="LNR47" s="319"/>
      <c r="LNS47" s="319"/>
      <c r="LNT47" s="319"/>
      <c r="LNU47" s="319"/>
      <c r="LNV47" s="319"/>
      <c r="LNW47" s="319"/>
      <c r="LNX47" s="319"/>
      <c r="LNY47" s="319"/>
      <c r="LNZ47" s="319"/>
      <c r="LOA47" s="319"/>
      <c r="LOB47" s="319"/>
      <c r="LOC47" s="319"/>
      <c r="LOD47" s="319"/>
      <c r="LOE47" s="319"/>
      <c r="LOF47" s="319"/>
      <c r="LOG47" s="319"/>
      <c r="LOH47" s="319"/>
      <c r="LOI47" s="319"/>
      <c r="LOJ47" s="319"/>
      <c r="LOK47" s="319"/>
      <c r="LOL47" s="319"/>
      <c r="LOM47" s="319"/>
      <c r="LON47" s="319"/>
      <c r="LOO47" s="319"/>
      <c r="LOP47" s="319"/>
      <c r="LOQ47" s="319"/>
      <c r="LOR47" s="319"/>
      <c r="LOS47" s="319"/>
      <c r="LOT47" s="319"/>
      <c r="LOU47" s="319"/>
      <c r="LOV47" s="319"/>
      <c r="LOW47" s="319"/>
      <c r="LOX47" s="319"/>
      <c r="LOY47" s="319"/>
      <c r="LOZ47" s="319"/>
      <c r="LPA47" s="319"/>
      <c r="LPB47" s="319"/>
      <c r="LPC47" s="319"/>
      <c r="LPD47" s="319"/>
      <c r="LPE47" s="319"/>
      <c r="LPF47" s="319"/>
      <c r="LPG47" s="319"/>
      <c r="LPH47" s="319"/>
      <c r="LPI47" s="319"/>
      <c r="LPJ47" s="319"/>
      <c r="LPK47" s="319"/>
      <c r="LPL47" s="319"/>
      <c r="LPM47" s="319"/>
      <c r="LPN47" s="319"/>
      <c r="LPO47" s="319"/>
      <c r="LPP47" s="319"/>
      <c r="LPQ47" s="319"/>
      <c r="LPR47" s="319"/>
      <c r="LPS47" s="319"/>
      <c r="LPT47" s="319"/>
      <c r="LPU47" s="319"/>
      <c r="LPV47" s="319"/>
      <c r="LPW47" s="319"/>
      <c r="LPX47" s="319"/>
      <c r="LPY47" s="319"/>
      <c r="LPZ47" s="319"/>
      <c r="LQA47" s="319"/>
      <c r="LQB47" s="319"/>
      <c r="LQC47" s="319"/>
      <c r="LQD47" s="319"/>
      <c r="LQE47" s="319"/>
      <c r="LQF47" s="319"/>
      <c r="LQG47" s="319"/>
      <c r="LQH47" s="319"/>
      <c r="LQI47" s="319"/>
      <c r="LQJ47" s="319"/>
      <c r="LQK47" s="319"/>
      <c r="LQL47" s="319"/>
      <c r="LQM47" s="319"/>
      <c r="LQN47" s="319"/>
      <c r="LQO47" s="319"/>
      <c r="LQP47" s="319"/>
      <c r="LQQ47" s="319"/>
      <c r="LQR47" s="319"/>
      <c r="LQS47" s="319"/>
      <c r="LQT47" s="319"/>
      <c r="LQU47" s="319"/>
      <c r="LQV47" s="319"/>
      <c r="LQW47" s="319"/>
      <c r="LQX47" s="319"/>
      <c r="LQY47" s="319"/>
      <c r="LQZ47" s="319"/>
      <c r="LRA47" s="319"/>
      <c r="LRB47" s="319"/>
      <c r="LRC47" s="319"/>
      <c r="LRD47" s="319"/>
      <c r="LRE47" s="319"/>
      <c r="LRF47" s="319"/>
      <c r="LRG47" s="319"/>
      <c r="LRH47" s="319"/>
      <c r="LRI47" s="319"/>
      <c r="LRJ47" s="319"/>
      <c r="LRK47" s="319"/>
      <c r="LRL47" s="319"/>
      <c r="LRM47" s="319"/>
      <c r="LRN47" s="319"/>
      <c r="LRO47" s="319"/>
      <c r="LRP47" s="319"/>
      <c r="LRQ47" s="319"/>
      <c r="LRR47" s="319"/>
      <c r="LRS47" s="319"/>
      <c r="LRT47" s="319"/>
      <c r="LRU47" s="319"/>
      <c r="LRV47" s="319"/>
      <c r="LRW47" s="319"/>
      <c r="LRX47" s="319"/>
      <c r="LRY47" s="319"/>
      <c r="LRZ47" s="319"/>
      <c r="LSA47" s="319"/>
      <c r="LSB47" s="319"/>
      <c r="LSC47" s="319"/>
      <c r="LSD47" s="319"/>
      <c r="LSE47" s="319"/>
      <c r="LSF47" s="319"/>
      <c r="LSG47" s="319"/>
      <c r="LSH47" s="319"/>
      <c r="LSI47" s="319"/>
      <c r="LSJ47" s="319"/>
      <c r="LSK47" s="319"/>
      <c r="LSL47" s="319"/>
      <c r="LSM47" s="319"/>
      <c r="LSN47" s="319"/>
      <c r="LSO47" s="319"/>
      <c r="LSP47" s="319"/>
      <c r="LSQ47" s="319"/>
      <c r="LSR47" s="319"/>
      <c r="LSS47" s="319"/>
      <c r="LST47" s="319"/>
      <c r="LSU47" s="319"/>
      <c r="LSV47" s="319"/>
      <c r="LSW47" s="319"/>
      <c r="LSX47" s="319"/>
      <c r="LSY47" s="319"/>
      <c r="LSZ47" s="319"/>
      <c r="LTA47" s="319"/>
      <c r="LTB47" s="319"/>
      <c r="LTC47" s="319"/>
      <c r="LTD47" s="319"/>
      <c r="LTE47" s="319"/>
      <c r="LTF47" s="319"/>
      <c r="LTG47" s="319"/>
      <c r="LTH47" s="319"/>
      <c r="LTI47" s="319"/>
      <c r="LTJ47" s="319"/>
      <c r="LTK47" s="319"/>
      <c r="LTL47" s="319"/>
      <c r="LTM47" s="319"/>
      <c r="LTN47" s="319"/>
      <c r="LTO47" s="319"/>
      <c r="LTP47" s="319"/>
      <c r="LTQ47" s="319"/>
      <c r="LTR47" s="319"/>
      <c r="LTS47" s="319"/>
      <c r="LTT47" s="319"/>
      <c r="LTU47" s="319"/>
      <c r="LTV47" s="319"/>
      <c r="LTW47" s="319"/>
      <c r="LTX47" s="319"/>
      <c r="LTY47" s="319"/>
      <c r="LTZ47" s="319"/>
      <c r="LUA47" s="319"/>
      <c r="LUB47" s="319"/>
      <c r="LUC47" s="319"/>
      <c r="LUD47" s="319"/>
      <c r="LUE47" s="319"/>
      <c r="LUF47" s="319"/>
      <c r="LUG47" s="319"/>
      <c r="LUH47" s="319"/>
      <c r="LUI47" s="319"/>
      <c r="LUJ47" s="319"/>
      <c r="LUK47" s="319"/>
      <c r="LUL47" s="319"/>
      <c r="LUM47" s="319"/>
      <c r="LUN47" s="319"/>
      <c r="LUO47" s="319"/>
      <c r="LUP47" s="319"/>
      <c r="LUQ47" s="319"/>
      <c r="LUR47" s="319"/>
      <c r="LUS47" s="319"/>
      <c r="LUT47" s="319"/>
      <c r="LUU47" s="319"/>
      <c r="LUV47" s="319"/>
      <c r="LUW47" s="319"/>
      <c r="LUX47" s="319"/>
      <c r="LUY47" s="319"/>
      <c r="LUZ47" s="319"/>
      <c r="LVA47" s="319"/>
      <c r="LVB47" s="319"/>
      <c r="LVC47" s="319"/>
      <c r="LVD47" s="319"/>
      <c r="LVE47" s="319"/>
      <c r="LVF47" s="319"/>
      <c r="LVG47" s="319"/>
      <c r="LVH47" s="319"/>
      <c r="LVI47" s="319"/>
      <c r="LVJ47" s="319"/>
      <c r="LVK47" s="319"/>
      <c r="LVL47" s="319"/>
      <c r="LVM47" s="319"/>
      <c r="LVN47" s="319"/>
      <c r="LVO47" s="319"/>
      <c r="LVP47" s="319"/>
      <c r="LVQ47" s="319"/>
      <c r="LVR47" s="319"/>
      <c r="LVS47" s="319"/>
      <c r="LVT47" s="319"/>
      <c r="LVU47" s="319"/>
      <c r="LVV47" s="319"/>
      <c r="LVW47" s="319"/>
      <c r="LVX47" s="319"/>
      <c r="LVY47" s="319"/>
      <c r="LVZ47" s="319"/>
      <c r="LWA47" s="319"/>
      <c r="LWB47" s="319"/>
      <c r="LWC47" s="319"/>
      <c r="LWD47" s="319"/>
      <c r="LWE47" s="319"/>
      <c r="LWF47" s="319"/>
      <c r="LWG47" s="319"/>
      <c r="LWH47" s="319"/>
      <c r="LWI47" s="319"/>
      <c r="LWJ47" s="319"/>
      <c r="LWK47" s="319"/>
      <c r="LWL47" s="319"/>
      <c r="LWM47" s="319"/>
      <c r="LWN47" s="319"/>
      <c r="LWO47" s="319"/>
      <c r="LWP47" s="319"/>
      <c r="LWQ47" s="319"/>
      <c r="LWR47" s="319"/>
      <c r="LWS47" s="319"/>
      <c r="LWT47" s="319"/>
      <c r="LWU47" s="319"/>
      <c r="LWV47" s="319"/>
      <c r="LWW47" s="319"/>
      <c r="LWX47" s="319"/>
      <c r="LWY47" s="319"/>
      <c r="LWZ47" s="319"/>
      <c r="LXA47" s="319"/>
      <c r="LXB47" s="319"/>
      <c r="LXC47" s="319"/>
      <c r="LXD47" s="319"/>
      <c r="LXE47" s="319"/>
      <c r="LXF47" s="319"/>
      <c r="LXG47" s="319"/>
      <c r="LXH47" s="319"/>
      <c r="LXI47" s="319"/>
      <c r="LXJ47" s="319"/>
      <c r="LXK47" s="319"/>
      <c r="LXL47" s="319"/>
      <c r="LXM47" s="319"/>
      <c r="LXN47" s="319"/>
      <c r="LXO47" s="319"/>
      <c r="LXP47" s="319"/>
      <c r="LXQ47" s="319"/>
      <c r="LXR47" s="319"/>
      <c r="LXS47" s="319"/>
      <c r="LXT47" s="319"/>
      <c r="LXU47" s="319"/>
      <c r="LXV47" s="319"/>
      <c r="LXW47" s="319"/>
      <c r="LXX47" s="319"/>
      <c r="LXY47" s="319"/>
      <c r="LXZ47" s="319"/>
      <c r="LYA47" s="319"/>
      <c r="LYB47" s="319"/>
      <c r="LYC47" s="319"/>
      <c r="LYD47" s="319"/>
      <c r="LYE47" s="319"/>
      <c r="LYF47" s="319"/>
      <c r="LYG47" s="319"/>
      <c r="LYH47" s="319"/>
      <c r="LYI47" s="319"/>
      <c r="LYJ47" s="319"/>
      <c r="LYK47" s="319"/>
      <c r="LYL47" s="319"/>
      <c r="LYM47" s="319"/>
      <c r="LYN47" s="319"/>
      <c r="LYO47" s="319"/>
      <c r="LYP47" s="319"/>
      <c r="LYQ47" s="319"/>
      <c r="LYR47" s="319"/>
      <c r="LYS47" s="319"/>
      <c r="LYT47" s="319"/>
      <c r="LYU47" s="319"/>
      <c r="LYV47" s="319"/>
      <c r="LYW47" s="319"/>
      <c r="LYX47" s="319"/>
      <c r="LYY47" s="319"/>
      <c r="LYZ47" s="319"/>
      <c r="LZA47" s="319"/>
      <c r="LZB47" s="319"/>
      <c r="LZC47" s="319"/>
      <c r="LZD47" s="319"/>
      <c r="LZE47" s="319"/>
      <c r="LZF47" s="319"/>
      <c r="LZG47" s="319"/>
      <c r="LZH47" s="319"/>
      <c r="LZI47" s="319"/>
      <c r="LZJ47" s="319"/>
      <c r="LZK47" s="319"/>
      <c r="LZL47" s="319"/>
      <c r="LZM47" s="319"/>
      <c r="LZN47" s="319"/>
      <c r="LZO47" s="319"/>
      <c r="LZP47" s="319"/>
      <c r="LZQ47" s="319"/>
      <c r="LZR47" s="319"/>
      <c r="LZS47" s="319"/>
      <c r="LZT47" s="319"/>
      <c r="LZU47" s="319"/>
      <c r="LZV47" s="319"/>
      <c r="LZW47" s="319"/>
      <c r="LZX47" s="319"/>
      <c r="LZY47" s="319"/>
      <c r="LZZ47" s="319"/>
      <c r="MAA47" s="319"/>
      <c r="MAB47" s="319"/>
      <c r="MAC47" s="319"/>
      <c r="MAD47" s="319"/>
      <c r="MAE47" s="319"/>
      <c r="MAF47" s="319"/>
      <c r="MAG47" s="319"/>
      <c r="MAH47" s="319"/>
      <c r="MAI47" s="319"/>
      <c r="MAJ47" s="319"/>
      <c r="MAK47" s="319"/>
      <c r="MAL47" s="319"/>
      <c r="MAM47" s="319"/>
      <c r="MAN47" s="319"/>
      <c r="MAO47" s="319"/>
      <c r="MAP47" s="319"/>
      <c r="MAQ47" s="319"/>
      <c r="MAR47" s="319"/>
      <c r="MAS47" s="319"/>
      <c r="MAT47" s="319"/>
      <c r="MAU47" s="319"/>
      <c r="MAV47" s="319"/>
      <c r="MAW47" s="319"/>
      <c r="MAX47" s="319"/>
      <c r="MAY47" s="319"/>
      <c r="MAZ47" s="319"/>
      <c r="MBA47" s="319"/>
      <c r="MBB47" s="319"/>
      <c r="MBC47" s="319"/>
      <c r="MBD47" s="319"/>
      <c r="MBE47" s="319"/>
      <c r="MBF47" s="319"/>
      <c r="MBG47" s="319"/>
      <c r="MBH47" s="319"/>
      <c r="MBI47" s="319"/>
      <c r="MBJ47" s="319"/>
      <c r="MBK47" s="319"/>
      <c r="MBL47" s="319"/>
      <c r="MBM47" s="319"/>
      <c r="MBN47" s="319"/>
      <c r="MBO47" s="319"/>
      <c r="MBP47" s="319"/>
      <c r="MBQ47" s="319"/>
      <c r="MBR47" s="319"/>
      <c r="MBS47" s="319"/>
      <c r="MBT47" s="319"/>
      <c r="MBU47" s="319"/>
      <c r="MBV47" s="319"/>
      <c r="MBW47" s="319"/>
      <c r="MBX47" s="319"/>
      <c r="MBY47" s="319"/>
      <c r="MBZ47" s="319"/>
      <c r="MCA47" s="319"/>
      <c r="MCB47" s="319"/>
      <c r="MCC47" s="319"/>
      <c r="MCD47" s="319"/>
      <c r="MCE47" s="319"/>
      <c r="MCF47" s="319"/>
      <c r="MCG47" s="319"/>
      <c r="MCH47" s="319"/>
      <c r="MCI47" s="319"/>
      <c r="MCJ47" s="319"/>
      <c r="MCK47" s="319"/>
      <c r="MCL47" s="319"/>
      <c r="MCM47" s="319"/>
      <c r="MCN47" s="319"/>
      <c r="MCO47" s="319"/>
      <c r="MCP47" s="319"/>
      <c r="MCQ47" s="319"/>
      <c r="MCR47" s="319"/>
      <c r="MCS47" s="319"/>
      <c r="MCT47" s="319"/>
      <c r="MCU47" s="319"/>
      <c r="MCV47" s="319"/>
      <c r="MCW47" s="319"/>
      <c r="MCX47" s="319"/>
      <c r="MCY47" s="319"/>
      <c r="MCZ47" s="319"/>
      <c r="MDA47" s="319"/>
      <c r="MDB47" s="319"/>
      <c r="MDC47" s="319"/>
      <c r="MDD47" s="319"/>
      <c r="MDE47" s="319"/>
      <c r="MDF47" s="319"/>
      <c r="MDG47" s="319"/>
      <c r="MDH47" s="319"/>
      <c r="MDI47" s="319"/>
      <c r="MDJ47" s="319"/>
      <c r="MDK47" s="319"/>
      <c r="MDL47" s="319"/>
      <c r="MDM47" s="319"/>
      <c r="MDN47" s="319"/>
      <c r="MDO47" s="319"/>
      <c r="MDP47" s="319"/>
      <c r="MDQ47" s="319"/>
      <c r="MDR47" s="319"/>
      <c r="MDS47" s="319"/>
      <c r="MDT47" s="319"/>
      <c r="MDU47" s="319"/>
      <c r="MDV47" s="319"/>
      <c r="MDW47" s="319"/>
      <c r="MDX47" s="319"/>
      <c r="MDY47" s="319"/>
      <c r="MDZ47" s="319"/>
      <c r="MEA47" s="319"/>
      <c r="MEB47" s="319"/>
      <c r="MEC47" s="319"/>
      <c r="MED47" s="319"/>
      <c r="MEE47" s="319"/>
      <c r="MEF47" s="319"/>
      <c r="MEG47" s="319"/>
      <c r="MEH47" s="319"/>
      <c r="MEI47" s="319"/>
      <c r="MEJ47" s="319"/>
      <c r="MEK47" s="319"/>
      <c r="MEL47" s="319"/>
      <c r="MEM47" s="319"/>
      <c r="MEN47" s="319"/>
      <c r="MEO47" s="319"/>
      <c r="MEP47" s="319"/>
      <c r="MEQ47" s="319"/>
      <c r="MER47" s="319"/>
      <c r="MES47" s="319"/>
      <c r="MET47" s="319"/>
      <c r="MEU47" s="319"/>
      <c r="MEV47" s="319"/>
      <c r="MEW47" s="319"/>
      <c r="MEX47" s="319"/>
      <c r="MEY47" s="319"/>
      <c r="MEZ47" s="319"/>
      <c r="MFA47" s="319"/>
      <c r="MFB47" s="319"/>
      <c r="MFC47" s="319"/>
      <c r="MFD47" s="319"/>
      <c r="MFE47" s="319"/>
      <c r="MFF47" s="319"/>
      <c r="MFG47" s="319"/>
      <c r="MFH47" s="319"/>
      <c r="MFI47" s="319"/>
      <c r="MFJ47" s="319"/>
      <c r="MFK47" s="319"/>
      <c r="MFL47" s="319"/>
      <c r="MFM47" s="319"/>
      <c r="MFN47" s="319"/>
      <c r="MFO47" s="319"/>
      <c r="MFP47" s="319"/>
      <c r="MFQ47" s="319"/>
      <c r="MFR47" s="319"/>
      <c r="MFS47" s="319"/>
      <c r="MFT47" s="319"/>
      <c r="MFU47" s="319"/>
      <c r="MFV47" s="319"/>
      <c r="MFW47" s="319"/>
      <c r="MFX47" s="319"/>
      <c r="MFY47" s="319"/>
      <c r="MFZ47" s="319"/>
      <c r="MGA47" s="319"/>
      <c r="MGB47" s="319"/>
      <c r="MGC47" s="319"/>
      <c r="MGD47" s="319"/>
      <c r="MGE47" s="319"/>
      <c r="MGF47" s="319"/>
      <c r="MGG47" s="319"/>
      <c r="MGH47" s="319"/>
      <c r="MGI47" s="319"/>
      <c r="MGJ47" s="319"/>
      <c r="MGK47" s="319"/>
      <c r="MGL47" s="319"/>
      <c r="MGM47" s="319"/>
      <c r="MGN47" s="319"/>
      <c r="MGO47" s="319"/>
      <c r="MGP47" s="319"/>
      <c r="MGQ47" s="319"/>
      <c r="MGR47" s="319"/>
      <c r="MGS47" s="319"/>
      <c r="MGT47" s="319"/>
      <c r="MGU47" s="319"/>
      <c r="MGV47" s="319"/>
      <c r="MGW47" s="319"/>
      <c r="MGX47" s="319"/>
      <c r="MGY47" s="319"/>
      <c r="MGZ47" s="319"/>
      <c r="MHA47" s="319"/>
      <c r="MHB47" s="319"/>
      <c r="MHC47" s="319"/>
      <c r="MHD47" s="319"/>
      <c r="MHE47" s="319"/>
      <c r="MHF47" s="319"/>
      <c r="MHG47" s="319"/>
      <c r="MHH47" s="319"/>
      <c r="MHI47" s="319"/>
      <c r="MHJ47" s="319"/>
      <c r="MHK47" s="319"/>
      <c r="MHL47" s="319"/>
      <c r="MHM47" s="319"/>
      <c r="MHN47" s="319"/>
      <c r="MHO47" s="319"/>
      <c r="MHP47" s="319"/>
      <c r="MHQ47" s="319"/>
      <c r="MHR47" s="319"/>
      <c r="MHS47" s="319"/>
      <c r="MHT47" s="319"/>
      <c r="MHU47" s="319"/>
      <c r="MHV47" s="319"/>
      <c r="MHW47" s="319"/>
      <c r="MHX47" s="319"/>
      <c r="MHY47" s="319"/>
      <c r="MHZ47" s="319"/>
      <c r="MIA47" s="319"/>
      <c r="MIB47" s="319"/>
      <c r="MIC47" s="319"/>
      <c r="MID47" s="319"/>
      <c r="MIE47" s="319"/>
      <c r="MIF47" s="319"/>
      <c r="MIG47" s="319"/>
      <c r="MIH47" s="319"/>
      <c r="MII47" s="319"/>
      <c r="MIJ47" s="319"/>
      <c r="MIK47" s="319"/>
      <c r="MIL47" s="319"/>
      <c r="MIM47" s="319"/>
      <c r="MIN47" s="319"/>
      <c r="MIO47" s="319"/>
      <c r="MIP47" s="319"/>
      <c r="MIQ47" s="319"/>
      <c r="MIR47" s="319"/>
      <c r="MIS47" s="319"/>
      <c r="MIT47" s="319"/>
      <c r="MIU47" s="319"/>
      <c r="MIV47" s="319"/>
      <c r="MIW47" s="319"/>
      <c r="MIX47" s="319"/>
      <c r="MIY47" s="319"/>
      <c r="MIZ47" s="319"/>
      <c r="MJA47" s="319"/>
      <c r="MJB47" s="319"/>
      <c r="MJC47" s="319"/>
      <c r="MJD47" s="319"/>
      <c r="MJE47" s="319"/>
      <c r="MJF47" s="319"/>
      <c r="MJG47" s="319"/>
      <c r="MJH47" s="319"/>
      <c r="MJI47" s="319"/>
      <c r="MJJ47" s="319"/>
      <c r="MJK47" s="319"/>
      <c r="MJL47" s="319"/>
      <c r="MJM47" s="319"/>
      <c r="MJN47" s="319"/>
      <c r="MJO47" s="319"/>
      <c r="MJP47" s="319"/>
      <c r="MJQ47" s="319"/>
      <c r="MJR47" s="319"/>
      <c r="MJS47" s="319"/>
      <c r="MJT47" s="319"/>
      <c r="MJU47" s="319"/>
      <c r="MJV47" s="319"/>
      <c r="MJW47" s="319"/>
      <c r="MJX47" s="319"/>
      <c r="MJY47" s="319"/>
      <c r="MJZ47" s="319"/>
      <c r="MKA47" s="319"/>
      <c r="MKB47" s="319"/>
      <c r="MKC47" s="319"/>
      <c r="MKD47" s="319"/>
      <c r="MKE47" s="319"/>
      <c r="MKF47" s="319"/>
      <c r="MKG47" s="319"/>
      <c r="MKH47" s="319"/>
      <c r="MKI47" s="319"/>
      <c r="MKJ47" s="319"/>
      <c r="MKK47" s="319"/>
      <c r="MKL47" s="319"/>
      <c r="MKM47" s="319"/>
      <c r="MKN47" s="319"/>
      <c r="MKO47" s="319"/>
      <c r="MKP47" s="319"/>
      <c r="MKQ47" s="319"/>
      <c r="MKR47" s="319"/>
      <c r="MKS47" s="319"/>
      <c r="MKT47" s="319"/>
      <c r="MKU47" s="319"/>
      <c r="MKV47" s="319"/>
      <c r="MKW47" s="319"/>
      <c r="MKX47" s="319"/>
      <c r="MKY47" s="319"/>
      <c r="MKZ47" s="319"/>
      <c r="MLA47" s="319"/>
      <c r="MLB47" s="319"/>
      <c r="MLC47" s="319"/>
      <c r="MLD47" s="319"/>
      <c r="MLE47" s="319"/>
      <c r="MLF47" s="319"/>
      <c r="MLG47" s="319"/>
      <c r="MLH47" s="319"/>
      <c r="MLI47" s="319"/>
      <c r="MLJ47" s="319"/>
      <c r="MLK47" s="319"/>
      <c r="MLL47" s="319"/>
      <c r="MLM47" s="319"/>
      <c r="MLN47" s="319"/>
      <c r="MLO47" s="319"/>
      <c r="MLP47" s="319"/>
      <c r="MLQ47" s="319"/>
      <c r="MLR47" s="319"/>
      <c r="MLS47" s="319"/>
      <c r="MLT47" s="319"/>
      <c r="MLU47" s="319"/>
      <c r="MLV47" s="319"/>
      <c r="MLW47" s="319"/>
      <c r="MLX47" s="319"/>
      <c r="MLY47" s="319"/>
      <c r="MLZ47" s="319"/>
      <c r="MMA47" s="319"/>
      <c r="MMB47" s="319"/>
      <c r="MMC47" s="319"/>
      <c r="MMD47" s="319"/>
      <c r="MME47" s="319"/>
      <c r="MMF47" s="319"/>
      <c r="MMG47" s="319"/>
      <c r="MMH47" s="319"/>
      <c r="MMI47" s="319"/>
      <c r="MMJ47" s="319"/>
      <c r="MMK47" s="319"/>
      <c r="MML47" s="319"/>
      <c r="MMM47" s="319"/>
      <c r="MMN47" s="319"/>
      <c r="MMO47" s="319"/>
      <c r="MMP47" s="319"/>
      <c r="MMQ47" s="319"/>
      <c r="MMR47" s="319"/>
      <c r="MMS47" s="319"/>
      <c r="MMT47" s="319"/>
      <c r="MMU47" s="319"/>
      <c r="MMV47" s="319"/>
      <c r="MMW47" s="319"/>
      <c r="MMX47" s="319"/>
      <c r="MMY47" s="319"/>
      <c r="MMZ47" s="319"/>
      <c r="MNA47" s="319"/>
      <c r="MNB47" s="319"/>
      <c r="MNC47" s="319"/>
      <c r="MND47" s="319"/>
      <c r="MNE47" s="319"/>
      <c r="MNF47" s="319"/>
      <c r="MNG47" s="319"/>
      <c r="MNH47" s="319"/>
      <c r="MNI47" s="319"/>
      <c r="MNJ47" s="319"/>
      <c r="MNK47" s="319"/>
      <c r="MNL47" s="319"/>
      <c r="MNM47" s="319"/>
      <c r="MNN47" s="319"/>
      <c r="MNO47" s="319"/>
      <c r="MNP47" s="319"/>
      <c r="MNQ47" s="319"/>
      <c r="MNR47" s="319"/>
      <c r="MNS47" s="319"/>
      <c r="MNT47" s="319"/>
      <c r="MNU47" s="319"/>
      <c r="MNV47" s="319"/>
      <c r="MNW47" s="319"/>
      <c r="MNX47" s="319"/>
      <c r="MNY47" s="319"/>
      <c r="MNZ47" s="319"/>
      <c r="MOA47" s="319"/>
      <c r="MOB47" s="319"/>
      <c r="MOC47" s="319"/>
      <c r="MOD47" s="319"/>
      <c r="MOE47" s="319"/>
      <c r="MOF47" s="319"/>
      <c r="MOG47" s="319"/>
      <c r="MOH47" s="319"/>
      <c r="MOI47" s="319"/>
      <c r="MOJ47" s="319"/>
      <c r="MOK47" s="319"/>
      <c r="MOL47" s="319"/>
      <c r="MOM47" s="319"/>
      <c r="MON47" s="319"/>
      <c r="MOO47" s="319"/>
      <c r="MOP47" s="319"/>
      <c r="MOQ47" s="319"/>
      <c r="MOR47" s="319"/>
      <c r="MOS47" s="319"/>
      <c r="MOT47" s="319"/>
      <c r="MOU47" s="319"/>
      <c r="MOV47" s="319"/>
      <c r="MOW47" s="319"/>
      <c r="MOX47" s="319"/>
      <c r="MOY47" s="319"/>
      <c r="MOZ47" s="319"/>
      <c r="MPA47" s="319"/>
      <c r="MPB47" s="319"/>
      <c r="MPC47" s="319"/>
      <c r="MPD47" s="319"/>
      <c r="MPE47" s="319"/>
      <c r="MPF47" s="319"/>
      <c r="MPG47" s="319"/>
      <c r="MPH47" s="319"/>
      <c r="MPI47" s="319"/>
      <c r="MPJ47" s="319"/>
      <c r="MPK47" s="319"/>
      <c r="MPL47" s="319"/>
      <c r="MPM47" s="319"/>
      <c r="MPN47" s="319"/>
      <c r="MPO47" s="319"/>
      <c r="MPP47" s="319"/>
      <c r="MPQ47" s="319"/>
      <c r="MPR47" s="319"/>
      <c r="MPS47" s="319"/>
      <c r="MPT47" s="319"/>
      <c r="MPU47" s="319"/>
      <c r="MPV47" s="319"/>
      <c r="MPW47" s="319"/>
      <c r="MPX47" s="319"/>
      <c r="MPY47" s="319"/>
      <c r="MPZ47" s="319"/>
      <c r="MQA47" s="319"/>
      <c r="MQB47" s="319"/>
      <c r="MQC47" s="319"/>
      <c r="MQD47" s="319"/>
      <c r="MQE47" s="319"/>
      <c r="MQF47" s="319"/>
      <c r="MQG47" s="319"/>
      <c r="MQH47" s="319"/>
      <c r="MQI47" s="319"/>
      <c r="MQJ47" s="319"/>
      <c r="MQK47" s="319"/>
      <c r="MQL47" s="319"/>
      <c r="MQM47" s="319"/>
      <c r="MQN47" s="319"/>
      <c r="MQO47" s="319"/>
      <c r="MQP47" s="319"/>
      <c r="MQQ47" s="319"/>
      <c r="MQR47" s="319"/>
      <c r="MQS47" s="319"/>
      <c r="MQT47" s="319"/>
      <c r="MQU47" s="319"/>
      <c r="MQV47" s="319"/>
      <c r="MQW47" s="319"/>
      <c r="MQX47" s="319"/>
      <c r="MQY47" s="319"/>
      <c r="MQZ47" s="319"/>
      <c r="MRA47" s="319"/>
      <c r="MRB47" s="319"/>
      <c r="MRC47" s="319"/>
      <c r="MRD47" s="319"/>
      <c r="MRE47" s="319"/>
      <c r="MRF47" s="319"/>
      <c r="MRG47" s="319"/>
      <c r="MRH47" s="319"/>
      <c r="MRI47" s="319"/>
      <c r="MRJ47" s="319"/>
      <c r="MRK47" s="319"/>
      <c r="MRL47" s="319"/>
      <c r="MRM47" s="319"/>
      <c r="MRN47" s="319"/>
      <c r="MRO47" s="319"/>
      <c r="MRP47" s="319"/>
      <c r="MRQ47" s="319"/>
      <c r="MRR47" s="319"/>
      <c r="MRS47" s="319"/>
      <c r="MRT47" s="319"/>
      <c r="MRU47" s="319"/>
      <c r="MRV47" s="319"/>
      <c r="MRW47" s="319"/>
      <c r="MRX47" s="319"/>
      <c r="MRY47" s="319"/>
      <c r="MRZ47" s="319"/>
      <c r="MSA47" s="319"/>
      <c r="MSB47" s="319"/>
      <c r="MSC47" s="319"/>
      <c r="MSD47" s="319"/>
      <c r="MSE47" s="319"/>
      <c r="MSF47" s="319"/>
      <c r="MSG47" s="319"/>
      <c r="MSH47" s="319"/>
      <c r="MSI47" s="319"/>
      <c r="MSJ47" s="319"/>
      <c r="MSK47" s="319"/>
      <c r="MSL47" s="319"/>
      <c r="MSM47" s="319"/>
      <c r="MSN47" s="319"/>
      <c r="MSO47" s="319"/>
      <c r="MSP47" s="319"/>
      <c r="MSQ47" s="319"/>
      <c r="MSR47" s="319"/>
      <c r="MSS47" s="319"/>
      <c r="MST47" s="319"/>
      <c r="MSU47" s="319"/>
      <c r="MSV47" s="319"/>
      <c r="MSW47" s="319"/>
      <c r="MSX47" s="319"/>
      <c r="MSY47" s="319"/>
      <c r="MSZ47" s="319"/>
      <c r="MTA47" s="319"/>
      <c r="MTB47" s="319"/>
      <c r="MTC47" s="319"/>
      <c r="MTD47" s="319"/>
      <c r="MTE47" s="319"/>
      <c r="MTF47" s="319"/>
      <c r="MTG47" s="319"/>
      <c r="MTH47" s="319"/>
      <c r="MTI47" s="319"/>
      <c r="MTJ47" s="319"/>
      <c r="MTK47" s="319"/>
      <c r="MTL47" s="319"/>
      <c r="MTM47" s="319"/>
      <c r="MTN47" s="319"/>
      <c r="MTO47" s="319"/>
      <c r="MTP47" s="319"/>
      <c r="MTQ47" s="319"/>
      <c r="MTR47" s="319"/>
      <c r="MTS47" s="319"/>
      <c r="MTT47" s="319"/>
      <c r="MTU47" s="319"/>
      <c r="MTV47" s="319"/>
      <c r="MTW47" s="319"/>
      <c r="MTX47" s="319"/>
      <c r="MTY47" s="319"/>
      <c r="MTZ47" s="319"/>
      <c r="MUA47" s="319"/>
      <c r="MUB47" s="319"/>
      <c r="MUC47" s="319"/>
      <c r="MUD47" s="319"/>
      <c r="MUE47" s="319"/>
      <c r="MUF47" s="319"/>
      <c r="MUG47" s="319"/>
      <c r="MUH47" s="319"/>
      <c r="MUI47" s="319"/>
      <c r="MUJ47" s="319"/>
      <c r="MUK47" s="319"/>
      <c r="MUL47" s="319"/>
      <c r="MUM47" s="319"/>
      <c r="MUN47" s="319"/>
      <c r="MUO47" s="319"/>
      <c r="MUP47" s="319"/>
      <c r="MUQ47" s="319"/>
      <c r="MUR47" s="319"/>
      <c r="MUS47" s="319"/>
      <c r="MUT47" s="319"/>
      <c r="MUU47" s="319"/>
      <c r="MUV47" s="319"/>
      <c r="MUW47" s="319"/>
      <c r="MUX47" s="319"/>
      <c r="MUY47" s="319"/>
      <c r="MUZ47" s="319"/>
      <c r="MVA47" s="319"/>
      <c r="MVB47" s="319"/>
      <c r="MVC47" s="319"/>
      <c r="MVD47" s="319"/>
      <c r="MVE47" s="319"/>
      <c r="MVF47" s="319"/>
      <c r="MVG47" s="319"/>
      <c r="MVH47" s="319"/>
      <c r="MVI47" s="319"/>
      <c r="MVJ47" s="319"/>
      <c r="MVK47" s="319"/>
      <c r="MVL47" s="319"/>
      <c r="MVM47" s="319"/>
      <c r="MVN47" s="319"/>
      <c r="MVO47" s="319"/>
      <c r="MVP47" s="319"/>
      <c r="MVQ47" s="319"/>
      <c r="MVR47" s="319"/>
      <c r="MVS47" s="319"/>
      <c r="MVT47" s="319"/>
      <c r="MVU47" s="319"/>
      <c r="MVV47" s="319"/>
      <c r="MVW47" s="319"/>
      <c r="MVX47" s="319"/>
      <c r="MVY47" s="319"/>
      <c r="MVZ47" s="319"/>
      <c r="MWA47" s="319"/>
      <c r="MWB47" s="319"/>
      <c r="MWC47" s="319"/>
      <c r="MWD47" s="319"/>
      <c r="MWE47" s="319"/>
      <c r="MWF47" s="319"/>
      <c r="MWG47" s="319"/>
      <c r="MWH47" s="319"/>
      <c r="MWI47" s="319"/>
      <c r="MWJ47" s="319"/>
      <c r="MWK47" s="319"/>
      <c r="MWL47" s="319"/>
      <c r="MWM47" s="319"/>
      <c r="MWN47" s="319"/>
      <c r="MWO47" s="319"/>
      <c r="MWP47" s="319"/>
      <c r="MWQ47" s="319"/>
      <c r="MWR47" s="319"/>
      <c r="MWS47" s="319"/>
      <c r="MWT47" s="319"/>
      <c r="MWU47" s="319"/>
      <c r="MWV47" s="319"/>
      <c r="MWW47" s="319"/>
      <c r="MWX47" s="319"/>
      <c r="MWY47" s="319"/>
      <c r="MWZ47" s="319"/>
      <c r="MXA47" s="319"/>
      <c r="MXB47" s="319"/>
      <c r="MXC47" s="319"/>
      <c r="MXD47" s="319"/>
      <c r="MXE47" s="319"/>
      <c r="MXF47" s="319"/>
      <c r="MXG47" s="319"/>
      <c r="MXH47" s="319"/>
      <c r="MXI47" s="319"/>
      <c r="MXJ47" s="319"/>
      <c r="MXK47" s="319"/>
      <c r="MXL47" s="319"/>
      <c r="MXM47" s="319"/>
      <c r="MXN47" s="319"/>
      <c r="MXO47" s="319"/>
      <c r="MXP47" s="319"/>
      <c r="MXQ47" s="319"/>
      <c r="MXR47" s="319"/>
      <c r="MXS47" s="319"/>
      <c r="MXT47" s="319"/>
      <c r="MXU47" s="319"/>
      <c r="MXV47" s="319"/>
      <c r="MXW47" s="319"/>
      <c r="MXX47" s="319"/>
      <c r="MXY47" s="319"/>
      <c r="MXZ47" s="319"/>
      <c r="MYA47" s="319"/>
      <c r="MYB47" s="319"/>
      <c r="MYC47" s="319"/>
      <c r="MYD47" s="319"/>
      <c r="MYE47" s="319"/>
      <c r="MYF47" s="319"/>
      <c r="MYG47" s="319"/>
      <c r="MYH47" s="319"/>
      <c r="MYI47" s="319"/>
      <c r="MYJ47" s="319"/>
      <c r="MYK47" s="319"/>
      <c r="MYL47" s="319"/>
      <c r="MYM47" s="319"/>
      <c r="MYN47" s="319"/>
      <c r="MYO47" s="319"/>
      <c r="MYP47" s="319"/>
      <c r="MYQ47" s="319"/>
      <c r="MYR47" s="319"/>
      <c r="MYS47" s="319"/>
      <c r="MYT47" s="319"/>
      <c r="MYU47" s="319"/>
      <c r="MYV47" s="319"/>
      <c r="MYW47" s="319"/>
      <c r="MYX47" s="319"/>
      <c r="MYY47" s="319"/>
      <c r="MYZ47" s="319"/>
      <c r="MZA47" s="319"/>
      <c r="MZB47" s="319"/>
      <c r="MZC47" s="319"/>
      <c r="MZD47" s="319"/>
      <c r="MZE47" s="319"/>
      <c r="MZF47" s="319"/>
      <c r="MZG47" s="319"/>
      <c r="MZH47" s="319"/>
      <c r="MZI47" s="319"/>
      <c r="MZJ47" s="319"/>
      <c r="MZK47" s="319"/>
      <c r="MZL47" s="319"/>
      <c r="MZM47" s="319"/>
      <c r="MZN47" s="319"/>
      <c r="MZO47" s="319"/>
      <c r="MZP47" s="319"/>
      <c r="MZQ47" s="319"/>
      <c r="MZR47" s="319"/>
      <c r="MZS47" s="319"/>
      <c r="MZT47" s="319"/>
      <c r="MZU47" s="319"/>
      <c r="MZV47" s="319"/>
      <c r="MZW47" s="319"/>
      <c r="MZX47" s="319"/>
      <c r="MZY47" s="319"/>
      <c r="MZZ47" s="319"/>
      <c r="NAA47" s="319"/>
      <c r="NAB47" s="319"/>
      <c r="NAC47" s="319"/>
      <c r="NAD47" s="319"/>
      <c r="NAE47" s="319"/>
      <c r="NAF47" s="319"/>
      <c r="NAG47" s="319"/>
      <c r="NAH47" s="319"/>
      <c r="NAI47" s="319"/>
      <c r="NAJ47" s="319"/>
      <c r="NAK47" s="319"/>
      <c r="NAL47" s="319"/>
      <c r="NAM47" s="319"/>
      <c r="NAN47" s="319"/>
      <c r="NAO47" s="319"/>
      <c r="NAP47" s="319"/>
      <c r="NAQ47" s="319"/>
      <c r="NAR47" s="319"/>
      <c r="NAS47" s="319"/>
      <c r="NAT47" s="319"/>
      <c r="NAU47" s="319"/>
      <c r="NAV47" s="319"/>
      <c r="NAW47" s="319"/>
      <c r="NAX47" s="319"/>
      <c r="NAY47" s="319"/>
      <c r="NAZ47" s="319"/>
      <c r="NBA47" s="319"/>
      <c r="NBB47" s="319"/>
      <c r="NBC47" s="319"/>
      <c r="NBD47" s="319"/>
      <c r="NBE47" s="319"/>
      <c r="NBF47" s="319"/>
      <c r="NBG47" s="319"/>
      <c r="NBH47" s="319"/>
      <c r="NBI47" s="319"/>
      <c r="NBJ47" s="319"/>
      <c r="NBK47" s="319"/>
      <c r="NBL47" s="319"/>
      <c r="NBM47" s="319"/>
      <c r="NBN47" s="319"/>
      <c r="NBO47" s="319"/>
      <c r="NBP47" s="319"/>
      <c r="NBQ47" s="319"/>
      <c r="NBR47" s="319"/>
      <c r="NBS47" s="319"/>
      <c r="NBT47" s="319"/>
      <c r="NBU47" s="319"/>
      <c r="NBV47" s="319"/>
      <c r="NBW47" s="319"/>
      <c r="NBX47" s="319"/>
      <c r="NBY47" s="319"/>
      <c r="NBZ47" s="319"/>
      <c r="NCA47" s="319"/>
      <c r="NCB47" s="319"/>
      <c r="NCC47" s="319"/>
      <c r="NCD47" s="319"/>
      <c r="NCE47" s="319"/>
      <c r="NCF47" s="319"/>
      <c r="NCG47" s="319"/>
      <c r="NCH47" s="319"/>
      <c r="NCI47" s="319"/>
      <c r="NCJ47" s="319"/>
      <c r="NCK47" s="319"/>
      <c r="NCL47" s="319"/>
      <c r="NCM47" s="319"/>
      <c r="NCN47" s="319"/>
      <c r="NCO47" s="319"/>
      <c r="NCP47" s="319"/>
      <c r="NCQ47" s="319"/>
      <c r="NCR47" s="319"/>
      <c r="NCS47" s="319"/>
      <c r="NCT47" s="319"/>
      <c r="NCU47" s="319"/>
      <c r="NCV47" s="319"/>
      <c r="NCW47" s="319"/>
      <c r="NCX47" s="319"/>
      <c r="NCY47" s="319"/>
      <c r="NCZ47" s="319"/>
      <c r="NDA47" s="319"/>
      <c r="NDB47" s="319"/>
      <c r="NDC47" s="319"/>
      <c r="NDD47" s="319"/>
      <c r="NDE47" s="319"/>
      <c r="NDF47" s="319"/>
      <c r="NDG47" s="319"/>
      <c r="NDH47" s="319"/>
      <c r="NDI47" s="319"/>
      <c r="NDJ47" s="319"/>
      <c r="NDK47" s="319"/>
      <c r="NDL47" s="319"/>
      <c r="NDM47" s="319"/>
      <c r="NDN47" s="319"/>
      <c r="NDO47" s="319"/>
      <c r="NDP47" s="319"/>
      <c r="NDQ47" s="319"/>
      <c r="NDR47" s="319"/>
      <c r="NDS47" s="319"/>
      <c r="NDT47" s="319"/>
      <c r="NDU47" s="319"/>
      <c r="NDV47" s="319"/>
      <c r="NDW47" s="319"/>
      <c r="NDX47" s="319"/>
      <c r="NDY47" s="319"/>
      <c r="NDZ47" s="319"/>
      <c r="NEA47" s="319"/>
      <c r="NEB47" s="319"/>
      <c r="NEC47" s="319"/>
      <c r="NED47" s="319"/>
      <c r="NEE47" s="319"/>
      <c r="NEF47" s="319"/>
      <c r="NEG47" s="319"/>
      <c r="NEH47" s="319"/>
      <c r="NEI47" s="319"/>
      <c r="NEJ47" s="319"/>
      <c r="NEK47" s="319"/>
      <c r="NEL47" s="319"/>
      <c r="NEM47" s="319"/>
      <c r="NEN47" s="319"/>
      <c r="NEO47" s="319"/>
      <c r="NEP47" s="319"/>
      <c r="NEQ47" s="319"/>
      <c r="NER47" s="319"/>
      <c r="NES47" s="319"/>
      <c r="NET47" s="319"/>
      <c r="NEU47" s="319"/>
      <c r="NEV47" s="319"/>
      <c r="NEW47" s="319"/>
      <c r="NEX47" s="319"/>
      <c r="NEY47" s="319"/>
      <c r="NEZ47" s="319"/>
      <c r="NFA47" s="319"/>
      <c r="NFB47" s="319"/>
      <c r="NFC47" s="319"/>
      <c r="NFD47" s="319"/>
      <c r="NFE47" s="319"/>
      <c r="NFF47" s="319"/>
      <c r="NFG47" s="319"/>
      <c r="NFH47" s="319"/>
      <c r="NFI47" s="319"/>
      <c r="NFJ47" s="319"/>
      <c r="NFK47" s="319"/>
      <c r="NFL47" s="319"/>
      <c r="NFM47" s="319"/>
      <c r="NFN47" s="319"/>
      <c r="NFO47" s="319"/>
      <c r="NFP47" s="319"/>
      <c r="NFQ47" s="319"/>
      <c r="NFR47" s="319"/>
      <c r="NFS47" s="319"/>
      <c r="NFT47" s="319"/>
      <c r="NFU47" s="319"/>
      <c r="NFV47" s="319"/>
      <c r="NFW47" s="319"/>
      <c r="NFX47" s="319"/>
      <c r="NFY47" s="319"/>
      <c r="NFZ47" s="319"/>
      <c r="NGA47" s="319"/>
      <c r="NGB47" s="319"/>
      <c r="NGC47" s="319"/>
      <c r="NGD47" s="319"/>
      <c r="NGE47" s="319"/>
      <c r="NGF47" s="319"/>
      <c r="NGG47" s="319"/>
      <c r="NGH47" s="319"/>
      <c r="NGI47" s="319"/>
      <c r="NGJ47" s="319"/>
      <c r="NGK47" s="319"/>
      <c r="NGL47" s="319"/>
      <c r="NGM47" s="319"/>
      <c r="NGN47" s="319"/>
      <c r="NGO47" s="319"/>
      <c r="NGP47" s="319"/>
      <c r="NGQ47" s="319"/>
      <c r="NGR47" s="319"/>
      <c r="NGS47" s="319"/>
      <c r="NGT47" s="319"/>
      <c r="NGU47" s="319"/>
      <c r="NGV47" s="319"/>
      <c r="NGW47" s="319"/>
      <c r="NGX47" s="319"/>
      <c r="NGY47" s="319"/>
      <c r="NGZ47" s="319"/>
      <c r="NHA47" s="319"/>
      <c r="NHB47" s="319"/>
      <c r="NHC47" s="319"/>
      <c r="NHD47" s="319"/>
      <c r="NHE47" s="319"/>
      <c r="NHF47" s="319"/>
      <c r="NHG47" s="319"/>
      <c r="NHH47" s="319"/>
      <c r="NHI47" s="319"/>
      <c r="NHJ47" s="319"/>
      <c r="NHK47" s="319"/>
      <c r="NHL47" s="319"/>
      <c r="NHM47" s="319"/>
      <c r="NHN47" s="319"/>
      <c r="NHO47" s="319"/>
      <c r="NHP47" s="319"/>
      <c r="NHQ47" s="319"/>
      <c r="NHR47" s="319"/>
      <c r="NHS47" s="319"/>
      <c r="NHT47" s="319"/>
      <c r="NHU47" s="319"/>
      <c r="NHV47" s="319"/>
      <c r="NHW47" s="319"/>
      <c r="NHX47" s="319"/>
      <c r="NHY47" s="319"/>
      <c r="NHZ47" s="319"/>
      <c r="NIA47" s="319"/>
      <c r="NIB47" s="319"/>
      <c r="NIC47" s="319"/>
      <c r="NID47" s="319"/>
      <c r="NIE47" s="319"/>
      <c r="NIF47" s="319"/>
      <c r="NIG47" s="319"/>
      <c r="NIH47" s="319"/>
      <c r="NII47" s="319"/>
      <c r="NIJ47" s="319"/>
      <c r="NIK47" s="319"/>
      <c r="NIL47" s="319"/>
      <c r="NIM47" s="319"/>
      <c r="NIN47" s="319"/>
      <c r="NIO47" s="319"/>
      <c r="NIP47" s="319"/>
      <c r="NIQ47" s="319"/>
      <c r="NIR47" s="319"/>
      <c r="NIS47" s="319"/>
      <c r="NIT47" s="319"/>
      <c r="NIU47" s="319"/>
      <c r="NIV47" s="319"/>
      <c r="NIW47" s="319"/>
      <c r="NIX47" s="319"/>
      <c r="NIY47" s="319"/>
      <c r="NIZ47" s="319"/>
      <c r="NJA47" s="319"/>
      <c r="NJB47" s="319"/>
      <c r="NJC47" s="319"/>
      <c r="NJD47" s="319"/>
      <c r="NJE47" s="319"/>
      <c r="NJF47" s="319"/>
      <c r="NJG47" s="319"/>
      <c r="NJH47" s="319"/>
      <c r="NJI47" s="319"/>
      <c r="NJJ47" s="319"/>
      <c r="NJK47" s="319"/>
      <c r="NJL47" s="319"/>
      <c r="NJM47" s="319"/>
      <c r="NJN47" s="319"/>
      <c r="NJO47" s="319"/>
      <c r="NJP47" s="319"/>
      <c r="NJQ47" s="319"/>
      <c r="NJR47" s="319"/>
      <c r="NJS47" s="319"/>
      <c r="NJT47" s="319"/>
      <c r="NJU47" s="319"/>
      <c r="NJV47" s="319"/>
      <c r="NJW47" s="319"/>
      <c r="NJX47" s="319"/>
      <c r="NJY47" s="319"/>
      <c r="NJZ47" s="319"/>
      <c r="NKA47" s="319"/>
      <c r="NKB47" s="319"/>
      <c r="NKC47" s="319"/>
      <c r="NKD47" s="319"/>
      <c r="NKE47" s="319"/>
      <c r="NKF47" s="319"/>
      <c r="NKG47" s="319"/>
      <c r="NKH47" s="319"/>
      <c r="NKI47" s="319"/>
      <c r="NKJ47" s="319"/>
      <c r="NKK47" s="319"/>
      <c r="NKL47" s="319"/>
      <c r="NKM47" s="319"/>
      <c r="NKN47" s="319"/>
      <c r="NKO47" s="319"/>
      <c r="NKP47" s="319"/>
      <c r="NKQ47" s="319"/>
      <c r="NKR47" s="319"/>
      <c r="NKS47" s="319"/>
      <c r="NKT47" s="319"/>
      <c r="NKU47" s="319"/>
      <c r="NKV47" s="319"/>
      <c r="NKW47" s="319"/>
      <c r="NKX47" s="319"/>
      <c r="NKY47" s="319"/>
      <c r="NKZ47" s="319"/>
      <c r="NLA47" s="319"/>
      <c r="NLB47" s="319"/>
      <c r="NLC47" s="319"/>
      <c r="NLD47" s="319"/>
      <c r="NLE47" s="319"/>
      <c r="NLF47" s="319"/>
      <c r="NLG47" s="319"/>
      <c r="NLH47" s="319"/>
      <c r="NLI47" s="319"/>
      <c r="NLJ47" s="319"/>
      <c r="NLK47" s="319"/>
      <c r="NLL47" s="319"/>
      <c r="NLM47" s="319"/>
      <c r="NLN47" s="319"/>
      <c r="NLO47" s="319"/>
      <c r="NLP47" s="319"/>
      <c r="NLQ47" s="319"/>
      <c r="NLR47" s="319"/>
      <c r="NLS47" s="319"/>
      <c r="NLT47" s="319"/>
      <c r="NLU47" s="319"/>
      <c r="NLV47" s="319"/>
      <c r="NLW47" s="319"/>
      <c r="NLX47" s="319"/>
      <c r="NLY47" s="319"/>
      <c r="NLZ47" s="319"/>
      <c r="NMA47" s="319"/>
      <c r="NMB47" s="319"/>
      <c r="NMC47" s="319"/>
      <c r="NMD47" s="319"/>
      <c r="NME47" s="319"/>
      <c r="NMF47" s="319"/>
      <c r="NMG47" s="319"/>
      <c r="NMH47" s="319"/>
      <c r="NMI47" s="319"/>
      <c r="NMJ47" s="319"/>
      <c r="NMK47" s="319"/>
      <c r="NML47" s="319"/>
      <c r="NMM47" s="319"/>
      <c r="NMN47" s="319"/>
      <c r="NMO47" s="319"/>
      <c r="NMP47" s="319"/>
      <c r="NMQ47" s="319"/>
      <c r="NMR47" s="319"/>
      <c r="NMS47" s="319"/>
      <c r="NMT47" s="319"/>
      <c r="NMU47" s="319"/>
      <c r="NMV47" s="319"/>
      <c r="NMW47" s="319"/>
      <c r="NMX47" s="319"/>
      <c r="NMY47" s="319"/>
      <c r="NMZ47" s="319"/>
      <c r="NNA47" s="319"/>
      <c r="NNB47" s="319"/>
      <c r="NNC47" s="319"/>
      <c r="NND47" s="319"/>
      <c r="NNE47" s="319"/>
      <c r="NNF47" s="319"/>
      <c r="NNG47" s="319"/>
      <c r="NNH47" s="319"/>
      <c r="NNI47" s="319"/>
      <c r="NNJ47" s="319"/>
      <c r="NNK47" s="319"/>
      <c r="NNL47" s="319"/>
      <c r="NNM47" s="319"/>
      <c r="NNN47" s="319"/>
      <c r="NNO47" s="319"/>
      <c r="NNP47" s="319"/>
      <c r="NNQ47" s="319"/>
      <c r="NNR47" s="319"/>
      <c r="NNS47" s="319"/>
      <c r="NNT47" s="319"/>
      <c r="NNU47" s="319"/>
      <c r="NNV47" s="319"/>
      <c r="NNW47" s="319"/>
      <c r="NNX47" s="319"/>
      <c r="NNY47" s="319"/>
      <c r="NNZ47" s="319"/>
      <c r="NOA47" s="319"/>
      <c r="NOB47" s="319"/>
      <c r="NOC47" s="319"/>
      <c r="NOD47" s="319"/>
      <c r="NOE47" s="319"/>
      <c r="NOF47" s="319"/>
      <c r="NOG47" s="319"/>
      <c r="NOH47" s="319"/>
      <c r="NOI47" s="319"/>
      <c r="NOJ47" s="319"/>
      <c r="NOK47" s="319"/>
      <c r="NOL47" s="319"/>
      <c r="NOM47" s="319"/>
      <c r="NON47" s="319"/>
      <c r="NOO47" s="319"/>
      <c r="NOP47" s="319"/>
      <c r="NOQ47" s="319"/>
      <c r="NOR47" s="319"/>
      <c r="NOS47" s="319"/>
      <c r="NOT47" s="319"/>
      <c r="NOU47" s="319"/>
      <c r="NOV47" s="319"/>
      <c r="NOW47" s="319"/>
      <c r="NOX47" s="319"/>
      <c r="NOY47" s="319"/>
      <c r="NOZ47" s="319"/>
      <c r="NPA47" s="319"/>
      <c r="NPB47" s="319"/>
      <c r="NPC47" s="319"/>
      <c r="NPD47" s="319"/>
      <c r="NPE47" s="319"/>
      <c r="NPF47" s="319"/>
      <c r="NPG47" s="319"/>
      <c r="NPH47" s="319"/>
      <c r="NPI47" s="319"/>
      <c r="NPJ47" s="319"/>
      <c r="NPK47" s="319"/>
      <c r="NPL47" s="319"/>
      <c r="NPM47" s="319"/>
      <c r="NPN47" s="319"/>
      <c r="NPO47" s="319"/>
      <c r="NPP47" s="319"/>
      <c r="NPQ47" s="319"/>
      <c r="NPR47" s="319"/>
      <c r="NPS47" s="319"/>
      <c r="NPT47" s="319"/>
      <c r="NPU47" s="319"/>
      <c r="NPV47" s="319"/>
      <c r="NPW47" s="319"/>
      <c r="NPX47" s="319"/>
      <c r="NPY47" s="319"/>
      <c r="NPZ47" s="319"/>
      <c r="NQA47" s="319"/>
      <c r="NQB47" s="319"/>
      <c r="NQC47" s="319"/>
      <c r="NQD47" s="319"/>
      <c r="NQE47" s="319"/>
      <c r="NQF47" s="319"/>
      <c r="NQG47" s="319"/>
      <c r="NQH47" s="319"/>
      <c r="NQI47" s="319"/>
      <c r="NQJ47" s="319"/>
      <c r="NQK47" s="319"/>
      <c r="NQL47" s="319"/>
      <c r="NQM47" s="319"/>
      <c r="NQN47" s="319"/>
      <c r="NQO47" s="319"/>
      <c r="NQP47" s="319"/>
      <c r="NQQ47" s="319"/>
      <c r="NQR47" s="319"/>
      <c r="NQS47" s="319"/>
      <c r="NQT47" s="319"/>
      <c r="NQU47" s="319"/>
      <c r="NQV47" s="319"/>
      <c r="NQW47" s="319"/>
      <c r="NQX47" s="319"/>
      <c r="NQY47" s="319"/>
      <c r="NQZ47" s="319"/>
      <c r="NRA47" s="319"/>
      <c r="NRB47" s="319"/>
      <c r="NRC47" s="319"/>
      <c r="NRD47" s="319"/>
      <c r="NRE47" s="319"/>
      <c r="NRF47" s="319"/>
      <c r="NRG47" s="319"/>
      <c r="NRH47" s="319"/>
      <c r="NRI47" s="319"/>
      <c r="NRJ47" s="319"/>
      <c r="NRK47" s="319"/>
      <c r="NRL47" s="319"/>
      <c r="NRM47" s="319"/>
      <c r="NRN47" s="319"/>
      <c r="NRO47" s="319"/>
      <c r="NRP47" s="319"/>
      <c r="NRQ47" s="319"/>
      <c r="NRR47" s="319"/>
      <c r="NRS47" s="319"/>
      <c r="NRT47" s="319"/>
      <c r="NRU47" s="319"/>
      <c r="NRV47" s="319"/>
      <c r="NRW47" s="319"/>
      <c r="NRX47" s="319"/>
      <c r="NRY47" s="319"/>
      <c r="NRZ47" s="319"/>
      <c r="NSA47" s="319"/>
      <c r="NSB47" s="319"/>
      <c r="NSC47" s="319"/>
      <c r="NSD47" s="319"/>
      <c r="NSE47" s="319"/>
      <c r="NSF47" s="319"/>
      <c r="NSG47" s="319"/>
      <c r="NSH47" s="319"/>
      <c r="NSI47" s="319"/>
      <c r="NSJ47" s="319"/>
      <c r="NSK47" s="319"/>
      <c r="NSL47" s="319"/>
      <c r="NSM47" s="319"/>
      <c r="NSN47" s="319"/>
      <c r="NSO47" s="319"/>
      <c r="NSP47" s="319"/>
      <c r="NSQ47" s="319"/>
      <c r="NSR47" s="319"/>
      <c r="NSS47" s="319"/>
      <c r="NST47" s="319"/>
      <c r="NSU47" s="319"/>
      <c r="NSV47" s="319"/>
      <c r="NSW47" s="319"/>
      <c r="NSX47" s="319"/>
      <c r="NSY47" s="319"/>
      <c r="NSZ47" s="319"/>
      <c r="NTA47" s="319"/>
      <c r="NTB47" s="319"/>
      <c r="NTC47" s="319"/>
      <c r="NTD47" s="319"/>
      <c r="NTE47" s="319"/>
      <c r="NTF47" s="319"/>
      <c r="NTG47" s="319"/>
      <c r="NTH47" s="319"/>
      <c r="NTI47" s="319"/>
      <c r="NTJ47" s="319"/>
      <c r="NTK47" s="319"/>
      <c r="NTL47" s="319"/>
      <c r="NTM47" s="319"/>
      <c r="NTN47" s="319"/>
      <c r="NTO47" s="319"/>
      <c r="NTP47" s="319"/>
      <c r="NTQ47" s="319"/>
      <c r="NTR47" s="319"/>
      <c r="NTS47" s="319"/>
      <c r="NTT47" s="319"/>
      <c r="NTU47" s="319"/>
      <c r="NTV47" s="319"/>
      <c r="NTW47" s="319"/>
      <c r="NTX47" s="319"/>
      <c r="NTY47" s="319"/>
      <c r="NTZ47" s="319"/>
      <c r="NUA47" s="319"/>
      <c r="NUB47" s="319"/>
      <c r="NUC47" s="319"/>
      <c r="NUD47" s="319"/>
      <c r="NUE47" s="319"/>
      <c r="NUF47" s="319"/>
      <c r="NUG47" s="319"/>
      <c r="NUH47" s="319"/>
      <c r="NUI47" s="319"/>
      <c r="NUJ47" s="319"/>
      <c r="NUK47" s="319"/>
      <c r="NUL47" s="319"/>
      <c r="NUM47" s="319"/>
      <c r="NUN47" s="319"/>
      <c r="NUO47" s="319"/>
      <c r="NUP47" s="319"/>
      <c r="NUQ47" s="319"/>
      <c r="NUR47" s="319"/>
      <c r="NUS47" s="319"/>
      <c r="NUT47" s="319"/>
      <c r="NUU47" s="319"/>
      <c r="NUV47" s="319"/>
      <c r="NUW47" s="319"/>
      <c r="NUX47" s="319"/>
      <c r="NUY47" s="319"/>
      <c r="NUZ47" s="319"/>
      <c r="NVA47" s="319"/>
      <c r="NVB47" s="319"/>
      <c r="NVC47" s="319"/>
      <c r="NVD47" s="319"/>
      <c r="NVE47" s="319"/>
      <c r="NVF47" s="319"/>
      <c r="NVG47" s="319"/>
      <c r="NVH47" s="319"/>
      <c r="NVI47" s="319"/>
      <c r="NVJ47" s="319"/>
      <c r="NVK47" s="319"/>
      <c r="NVL47" s="319"/>
      <c r="NVM47" s="319"/>
      <c r="NVN47" s="319"/>
      <c r="NVO47" s="319"/>
      <c r="NVP47" s="319"/>
      <c r="NVQ47" s="319"/>
      <c r="NVR47" s="319"/>
      <c r="NVS47" s="319"/>
      <c r="NVT47" s="319"/>
      <c r="NVU47" s="319"/>
      <c r="NVV47" s="319"/>
      <c r="NVW47" s="319"/>
      <c r="NVX47" s="319"/>
      <c r="NVY47" s="319"/>
      <c r="NVZ47" s="319"/>
      <c r="NWA47" s="319"/>
      <c r="NWB47" s="319"/>
      <c r="NWC47" s="319"/>
      <c r="NWD47" s="319"/>
      <c r="NWE47" s="319"/>
      <c r="NWF47" s="319"/>
      <c r="NWG47" s="319"/>
      <c r="NWH47" s="319"/>
      <c r="NWI47" s="319"/>
      <c r="NWJ47" s="319"/>
      <c r="NWK47" s="319"/>
      <c r="NWL47" s="319"/>
      <c r="NWM47" s="319"/>
      <c r="NWN47" s="319"/>
      <c r="NWO47" s="319"/>
      <c r="NWP47" s="319"/>
      <c r="NWQ47" s="319"/>
      <c r="NWR47" s="319"/>
      <c r="NWS47" s="319"/>
      <c r="NWT47" s="319"/>
      <c r="NWU47" s="319"/>
      <c r="NWV47" s="319"/>
      <c r="NWW47" s="319"/>
      <c r="NWX47" s="319"/>
      <c r="NWY47" s="319"/>
      <c r="NWZ47" s="319"/>
      <c r="NXA47" s="319"/>
      <c r="NXB47" s="319"/>
      <c r="NXC47" s="319"/>
      <c r="NXD47" s="319"/>
      <c r="NXE47" s="319"/>
      <c r="NXF47" s="319"/>
      <c r="NXG47" s="319"/>
      <c r="NXH47" s="319"/>
      <c r="NXI47" s="319"/>
      <c r="NXJ47" s="319"/>
      <c r="NXK47" s="319"/>
      <c r="NXL47" s="319"/>
      <c r="NXM47" s="319"/>
      <c r="NXN47" s="319"/>
      <c r="NXO47" s="319"/>
      <c r="NXP47" s="319"/>
      <c r="NXQ47" s="319"/>
      <c r="NXR47" s="319"/>
      <c r="NXS47" s="319"/>
      <c r="NXT47" s="319"/>
      <c r="NXU47" s="319"/>
      <c r="NXV47" s="319"/>
      <c r="NXW47" s="319"/>
      <c r="NXX47" s="319"/>
      <c r="NXY47" s="319"/>
      <c r="NXZ47" s="319"/>
      <c r="NYA47" s="319"/>
      <c r="NYB47" s="319"/>
      <c r="NYC47" s="319"/>
      <c r="NYD47" s="319"/>
      <c r="NYE47" s="319"/>
      <c r="NYF47" s="319"/>
      <c r="NYG47" s="319"/>
      <c r="NYH47" s="319"/>
      <c r="NYI47" s="319"/>
      <c r="NYJ47" s="319"/>
      <c r="NYK47" s="319"/>
      <c r="NYL47" s="319"/>
      <c r="NYM47" s="319"/>
      <c r="NYN47" s="319"/>
      <c r="NYO47" s="319"/>
      <c r="NYP47" s="319"/>
      <c r="NYQ47" s="319"/>
      <c r="NYR47" s="319"/>
      <c r="NYS47" s="319"/>
      <c r="NYT47" s="319"/>
      <c r="NYU47" s="319"/>
      <c r="NYV47" s="319"/>
      <c r="NYW47" s="319"/>
      <c r="NYX47" s="319"/>
      <c r="NYY47" s="319"/>
      <c r="NYZ47" s="319"/>
      <c r="NZA47" s="319"/>
      <c r="NZB47" s="319"/>
      <c r="NZC47" s="319"/>
      <c r="NZD47" s="319"/>
      <c r="NZE47" s="319"/>
      <c r="NZF47" s="319"/>
      <c r="NZG47" s="319"/>
      <c r="NZH47" s="319"/>
      <c r="NZI47" s="319"/>
      <c r="NZJ47" s="319"/>
      <c r="NZK47" s="319"/>
      <c r="NZL47" s="319"/>
      <c r="NZM47" s="319"/>
      <c r="NZN47" s="319"/>
      <c r="NZO47" s="319"/>
      <c r="NZP47" s="319"/>
      <c r="NZQ47" s="319"/>
      <c r="NZR47" s="319"/>
      <c r="NZS47" s="319"/>
      <c r="NZT47" s="319"/>
      <c r="NZU47" s="319"/>
      <c r="NZV47" s="319"/>
      <c r="NZW47" s="319"/>
      <c r="NZX47" s="319"/>
      <c r="NZY47" s="319"/>
      <c r="NZZ47" s="319"/>
      <c r="OAA47" s="319"/>
      <c r="OAB47" s="319"/>
      <c r="OAC47" s="319"/>
      <c r="OAD47" s="319"/>
      <c r="OAE47" s="319"/>
      <c r="OAF47" s="319"/>
      <c r="OAG47" s="319"/>
      <c r="OAH47" s="319"/>
      <c r="OAI47" s="319"/>
      <c r="OAJ47" s="319"/>
      <c r="OAK47" s="319"/>
      <c r="OAL47" s="319"/>
      <c r="OAM47" s="319"/>
      <c r="OAN47" s="319"/>
      <c r="OAO47" s="319"/>
      <c r="OAP47" s="319"/>
      <c r="OAQ47" s="319"/>
      <c r="OAR47" s="319"/>
      <c r="OAS47" s="319"/>
      <c r="OAT47" s="319"/>
      <c r="OAU47" s="319"/>
      <c r="OAV47" s="319"/>
      <c r="OAW47" s="319"/>
      <c r="OAX47" s="319"/>
      <c r="OAY47" s="319"/>
      <c r="OAZ47" s="319"/>
      <c r="OBA47" s="319"/>
      <c r="OBB47" s="319"/>
      <c r="OBC47" s="319"/>
      <c r="OBD47" s="319"/>
      <c r="OBE47" s="319"/>
      <c r="OBF47" s="319"/>
      <c r="OBG47" s="319"/>
      <c r="OBH47" s="319"/>
      <c r="OBI47" s="319"/>
      <c r="OBJ47" s="319"/>
      <c r="OBK47" s="319"/>
      <c r="OBL47" s="319"/>
      <c r="OBM47" s="319"/>
      <c r="OBN47" s="319"/>
      <c r="OBO47" s="319"/>
      <c r="OBP47" s="319"/>
      <c r="OBQ47" s="319"/>
      <c r="OBR47" s="319"/>
      <c r="OBS47" s="319"/>
      <c r="OBT47" s="319"/>
      <c r="OBU47" s="319"/>
      <c r="OBV47" s="319"/>
      <c r="OBW47" s="319"/>
      <c r="OBX47" s="319"/>
      <c r="OBY47" s="319"/>
      <c r="OBZ47" s="319"/>
      <c r="OCA47" s="319"/>
      <c r="OCB47" s="319"/>
      <c r="OCC47" s="319"/>
      <c r="OCD47" s="319"/>
      <c r="OCE47" s="319"/>
      <c r="OCF47" s="319"/>
      <c r="OCG47" s="319"/>
      <c r="OCH47" s="319"/>
      <c r="OCI47" s="319"/>
      <c r="OCJ47" s="319"/>
      <c r="OCK47" s="319"/>
      <c r="OCL47" s="319"/>
      <c r="OCM47" s="319"/>
      <c r="OCN47" s="319"/>
      <c r="OCO47" s="319"/>
      <c r="OCP47" s="319"/>
      <c r="OCQ47" s="319"/>
      <c r="OCR47" s="319"/>
      <c r="OCS47" s="319"/>
      <c r="OCT47" s="319"/>
      <c r="OCU47" s="319"/>
      <c r="OCV47" s="319"/>
      <c r="OCW47" s="319"/>
      <c r="OCX47" s="319"/>
      <c r="OCY47" s="319"/>
      <c r="OCZ47" s="319"/>
      <c r="ODA47" s="319"/>
      <c r="ODB47" s="319"/>
      <c r="ODC47" s="319"/>
      <c r="ODD47" s="319"/>
      <c r="ODE47" s="319"/>
      <c r="ODF47" s="319"/>
      <c r="ODG47" s="319"/>
      <c r="ODH47" s="319"/>
      <c r="ODI47" s="319"/>
      <c r="ODJ47" s="319"/>
      <c r="ODK47" s="319"/>
      <c r="ODL47" s="319"/>
      <c r="ODM47" s="319"/>
      <c r="ODN47" s="319"/>
      <c r="ODO47" s="319"/>
      <c r="ODP47" s="319"/>
      <c r="ODQ47" s="319"/>
      <c r="ODR47" s="319"/>
      <c r="ODS47" s="319"/>
      <c r="ODT47" s="319"/>
      <c r="ODU47" s="319"/>
      <c r="ODV47" s="319"/>
      <c r="ODW47" s="319"/>
      <c r="ODX47" s="319"/>
      <c r="ODY47" s="319"/>
      <c r="ODZ47" s="319"/>
      <c r="OEA47" s="319"/>
      <c r="OEB47" s="319"/>
      <c r="OEC47" s="319"/>
      <c r="OED47" s="319"/>
      <c r="OEE47" s="319"/>
      <c r="OEF47" s="319"/>
      <c r="OEG47" s="319"/>
      <c r="OEH47" s="319"/>
      <c r="OEI47" s="319"/>
      <c r="OEJ47" s="319"/>
      <c r="OEK47" s="319"/>
      <c r="OEL47" s="319"/>
      <c r="OEM47" s="319"/>
      <c r="OEN47" s="319"/>
      <c r="OEO47" s="319"/>
      <c r="OEP47" s="319"/>
      <c r="OEQ47" s="319"/>
      <c r="OER47" s="319"/>
      <c r="OES47" s="319"/>
      <c r="OET47" s="319"/>
      <c r="OEU47" s="319"/>
      <c r="OEV47" s="319"/>
      <c r="OEW47" s="319"/>
      <c r="OEX47" s="319"/>
      <c r="OEY47" s="319"/>
      <c r="OEZ47" s="319"/>
      <c r="OFA47" s="319"/>
      <c r="OFB47" s="319"/>
      <c r="OFC47" s="319"/>
      <c r="OFD47" s="319"/>
      <c r="OFE47" s="319"/>
      <c r="OFF47" s="319"/>
      <c r="OFG47" s="319"/>
      <c r="OFH47" s="319"/>
      <c r="OFI47" s="319"/>
      <c r="OFJ47" s="319"/>
      <c r="OFK47" s="319"/>
      <c r="OFL47" s="319"/>
      <c r="OFM47" s="319"/>
      <c r="OFN47" s="319"/>
      <c r="OFO47" s="319"/>
      <c r="OFP47" s="319"/>
      <c r="OFQ47" s="319"/>
      <c r="OFR47" s="319"/>
      <c r="OFS47" s="319"/>
      <c r="OFT47" s="319"/>
      <c r="OFU47" s="319"/>
      <c r="OFV47" s="319"/>
      <c r="OFW47" s="319"/>
      <c r="OFX47" s="319"/>
      <c r="OFY47" s="319"/>
      <c r="OFZ47" s="319"/>
      <c r="OGA47" s="319"/>
      <c r="OGB47" s="319"/>
      <c r="OGC47" s="319"/>
      <c r="OGD47" s="319"/>
      <c r="OGE47" s="319"/>
      <c r="OGF47" s="319"/>
      <c r="OGG47" s="319"/>
      <c r="OGH47" s="319"/>
      <c r="OGI47" s="319"/>
      <c r="OGJ47" s="319"/>
      <c r="OGK47" s="319"/>
      <c r="OGL47" s="319"/>
      <c r="OGM47" s="319"/>
      <c r="OGN47" s="319"/>
      <c r="OGO47" s="319"/>
      <c r="OGP47" s="319"/>
      <c r="OGQ47" s="319"/>
      <c r="OGR47" s="319"/>
      <c r="OGS47" s="319"/>
      <c r="OGT47" s="319"/>
      <c r="OGU47" s="319"/>
      <c r="OGV47" s="319"/>
      <c r="OGW47" s="319"/>
      <c r="OGX47" s="319"/>
      <c r="OGY47" s="319"/>
      <c r="OGZ47" s="319"/>
      <c r="OHA47" s="319"/>
      <c r="OHB47" s="319"/>
      <c r="OHC47" s="319"/>
      <c r="OHD47" s="319"/>
      <c r="OHE47" s="319"/>
      <c r="OHF47" s="319"/>
      <c r="OHG47" s="319"/>
      <c r="OHH47" s="319"/>
      <c r="OHI47" s="319"/>
      <c r="OHJ47" s="319"/>
      <c r="OHK47" s="319"/>
      <c r="OHL47" s="319"/>
      <c r="OHM47" s="319"/>
      <c r="OHN47" s="319"/>
      <c r="OHO47" s="319"/>
      <c r="OHP47" s="319"/>
      <c r="OHQ47" s="319"/>
      <c r="OHR47" s="319"/>
      <c r="OHS47" s="319"/>
      <c r="OHT47" s="319"/>
      <c r="OHU47" s="319"/>
      <c r="OHV47" s="319"/>
      <c r="OHW47" s="319"/>
      <c r="OHX47" s="319"/>
      <c r="OHY47" s="319"/>
      <c r="OHZ47" s="319"/>
      <c r="OIA47" s="319"/>
      <c r="OIB47" s="319"/>
      <c r="OIC47" s="319"/>
      <c r="OID47" s="319"/>
      <c r="OIE47" s="319"/>
      <c r="OIF47" s="319"/>
      <c r="OIG47" s="319"/>
      <c r="OIH47" s="319"/>
      <c r="OII47" s="319"/>
      <c r="OIJ47" s="319"/>
      <c r="OIK47" s="319"/>
      <c r="OIL47" s="319"/>
      <c r="OIM47" s="319"/>
      <c r="OIN47" s="319"/>
      <c r="OIO47" s="319"/>
      <c r="OIP47" s="319"/>
      <c r="OIQ47" s="319"/>
      <c r="OIR47" s="319"/>
      <c r="OIS47" s="319"/>
      <c r="OIT47" s="319"/>
      <c r="OIU47" s="319"/>
      <c r="OIV47" s="319"/>
      <c r="OIW47" s="319"/>
      <c r="OIX47" s="319"/>
      <c r="OIY47" s="319"/>
      <c r="OIZ47" s="319"/>
      <c r="OJA47" s="319"/>
      <c r="OJB47" s="319"/>
      <c r="OJC47" s="319"/>
      <c r="OJD47" s="319"/>
      <c r="OJE47" s="319"/>
      <c r="OJF47" s="319"/>
      <c r="OJG47" s="319"/>
      <c r="OJH47" s="319"/>
      <c r="OJI47" s="319"/>
      <c r="OJJ47" s="319"/>
      <c r="OJK47" s="319"/>
      <c r="OJL47" s="319"/>
      <c r="OJM47" s="319"/>
      <c r="OJN47" s="319"/>
      <c r="OJO47" s="319"/>
      <c r="OJP47" s="319"/>
      <c r="OJQ47" s="319"/>
      <c r="OJR47" s="319"/>
      <c r="OJS47" s="319"/>
      <c r="OJT47" s="319"/>
      <c r="OJU47" s="319"/>
      <c r="OJV47" s="319"/>
      <c r="OJW47" s="319"/>
      <c r="OJX47" s="319"/>
      <c r="OJY47" s="319"/>
      <c r="OJZ47" s="319"/>
      <c r="OKA47" s="319"/>
      <c r="OKB47" s="319"/>
      <c r="OKC47" s="319"/>
      <c r="OKD47" s="319"/>
      <c r="OKE47" s="319"/>
      <c r="OKF47" s="319"/>
      <c r="OKG47" s="319"/>
      <c r="OKH47" s="319"/>
      <c r="OKI47" s="319"/>
      <c r="OKJ47" s="319"/>
      <c r="OKK47" s="319"/>
      <c r="OKL47" s="319"/>
      <c r="OKM47" s="319"/>
      <c r="OKN47" s="319"/>
      <c r="OKO47" s="319"/>
      <c r="OKP47" s="319"/>
      <c r="OKQ47" s="319"/>
      <c r="OKR47" s="319"/>
      <c r="OKS47" s="319"/>
      <c r="OKT47" s="319"/>
      <c r="OKU47" s="319"/>
      <c r="OKV47" s="319"/>
      <c r="OKW47" s="319"/>
      <c r="OKX47" s="319"/>
      <c r="OKY47" s="319"/>
      <c r="OKZ47" s="319"/>
      <c r="OLA47" s="319"/>
      <c r="OLB47" s="319"/>
      <c r="OLC47" s="319"/>
      <c r="OLD47" s="319"/>
      <c r="OLE47" s="319"/>
      <c r="OLF47" s="319"/>
      <c r="OLG47" s="319"/>
      <c r="OLH47" s="319"/>
      <c r="OLI47" s="319"/>
      <c r="OLJ47" s="319"/>
      <c r="OLK47" s="319"/>
      <c r="OLL47" s="319"/>
      <c r="OLM47" s="319"/>
      <c r="OLN47" s="319"/>
      <c r="OLO47" s="319"/>
      <c r="OLP47" s="319"/>
      <c r="OLQ47" s="319"/>
      <c r="OLR47" s="319"/>
      <c r="OLS47" s="319"/>
      <c r="OLT47" s="319"/>
      <c r="OLU47" s="319"/>
      <c r="OLV47" s="319"/>
      <c r="OLW47" s="319"/>
      <c r="OLX47" s="319"/>
      <c r="OLY47" s="319"/>
      <c r="OLZ47" s="319"/>
      <c r="OMA47" s="319"/>
      <c r="OMB47" s="319"/>
      <c r="OMC47" s="319"/>
      <c r="OMD47" s="319"/>
      <c r="OME47" s="319"/>
      <c r="OMF47" s="319"/>
      <c r="OMG47" s="319"/>
      <c r="OMH47" s="319"/>
      <c r="OMI47" s="319"/>
      <c r="OMJ47" s="319"/>
      <c r="OMK47" s="319"/>
      <c r="OML47" s="319"/>
      <c r="OMM47" s="319"/>
      <c r="OMN47" s="319"/>
      <c r="OMO47" s="319"/>
      <c r="OMP47" s="319"/>
      <c r="OMQ47" s="319"/>
      <c r="OMR47" s="319"/>
      <c r="OMS47" s="319"/>
      <c r="OMT47" s="319"/>
      <c r="OMU47" s="319"/>
      <c r="OMV47" s="319"/>
      <c r="OMW47" s="319"/>
      <c r="OMX47" s="319"/>
      <c r="OMY47" s="319"/>
      <c r="OMZ47" s="319"/>
      <c r="ONA47" s="319"/>
      <c r="ONB47" s="319"/>
      <c r="ONC47" s="319"/>
      <c r="OND47" s="319"/>
      <c r="ONE47" s="319"/>
      <c r="ONF47" s="319"/>
      <c r="ONG47" s="319"/>
      <c r="ONH47" s="319"/>
      <c r="ONI47" s="319"/>
      <c r="ONJ47" s="319"/>
      <c r="ONK47" s="319"/>
      <c r="ONL47" s="319"/>
      <c r="ONM47" s="319"/>
      <c r="ONN47" s="319"/>
      <c r="ONO47" s="319"/>
      <c r="ONP47" s="319"/>
      <c r="ONQ47" s="319"/>
      <c r="ONR47" s="319"/>
      <c r="ONS47" s="319"/>
      <c r="ONT47" s="319"/>
      <c r="ONU47" s="319"/>
      <c r="ONV47" s="319"/>
      <c r="ONW47" s="319"/>
      <c r="ONX47" s="319"/>
      <c r="ONY47" s="319"/>
      <c r="ONZ47" s="319"/>
      <c r="OOA47" s="319"/>
      <c r="OOB47" s="319"/>
      <c r="OOC47" s="319"/>
      <c r="OOD47" s="319"/>
      <c r="OOE47" s="319"/>
      <c r="OOF47" s="319"/>
      <c r="OOG47" s="319"/>
      <c r="OOH47" s="319"/>
      <c r="OOI47" s="319"/>
      <c r="OOJ47" s="319"/>
      <c r="OOK47" s="319"/>
      <c r="OOL47" s="319"/>
      <c r="OOM47" s="319"/>
      <c r="OON47" s="319"/>
      <c r="OOO47" s="319"/>
      <c r="OOP47" s="319"/>
      <c r="OOQ47" s="319"/>
      <c r="OOR47" s="319"/>
      <c r="OOS47" s="319"/>
      <c r="OOT47" s="319"/>
      <c r="OOU47" s="319"/>
      <c r="OOV47" s="319"/>
      <c r="OOW47" s="319"/>
      <c r="OOX47" s="319"/>
      <c r="OOY47" s="319"/>
      <c r="OOZ47" s="319"/>
      <c r="OPA47" s="319"/>
      <c r="OPB47" s="319"/>
      <c r="OPC47" s="319"/>
      <c r="OPD47" s="319"/>
      <c r="OPE47" s="319"/>
      <c r="OPF47" s="319"/>
      <c r="OPG47" s="319"/>
      <c r="OPH47" s="319"/>
      <c r="OPI47" s="319"/>
      <c r="OPJ47" s="319"/>
      <c r="OPK47" s="319"/>
      <c r="OPL47" s="319"/>
      <c r="OPM47" s="319"/>
      <c r="OPN47" s="319"/>
      <c r="OPO47" s="319"/>
      <c r="OPP47" s="319"/>
      <c r="OPQ47" s="319"/>
      <c r="OPR47" s="319"/>
      <c r="OPS47" s="319"/>
      <c r="OPT47" s="319"/>
      <c r="OPU47" s="319"/>
      <c r="OPV47" s="319"/>
      <c r="OPW47" s="319"/>
      <c r="OPX47" s="319"/>
      <c r="OPY47" s="319"/>
      <c r="OPZ47" s="319"/>
      <c r="OQA47" s="319"/>
      <c r="OQB47" s="319"/>
      <c r="OQC47" s="319"/>
      <c r="OQD47" s="319"/>
      <c r="OQE47" s="319"/>
      <c r="OQF47" s="319"/>
      <c r="OQG47" s="319"/>
      <c r="OQH47" s="319"/>
      <c r="OQI47" s="319"/>
      <c r="OQJ47" s="319"/>
      <c r="OQK47" s="319"/>
      <c r="OQL47" s="319"/>
      <c r="OQM47" s="319"/>
      <c r="OQN47" s="319"/>
      <c r="OQO47" s="319"/>
      <c r="OQP47" s="319"/>
      <c r="OQQ47" s="319"/>
      <c r="OQR47" s="319"/>
      <c r="OQS47" s="319"/>
      <c r="OQT47" s="319"/>
      <c r="OQU47" s="319"/>
      <c r="OQV47" s="319"/>
      <c r="OQW47" s="319"/>
      <c r="OQX47" s="319"/>
      <c r="OQY47" s="319"/>
      <c r="OQZ47" s="319"/>
      <c r="ORA47" s="319"/>
      <c r="ORB47" s="319"/>
      <c r="ORC47" s="319"/>
      <c r="ORD47" s="319"/>
      <c r="ORE47" s="319"/>
      <c r="ORF47" s="319"/>
      <c r="ORG47" s="319"/>
      <c r="ORH47" s="319"/>
      <c r="ORI47" s="319"/>
      <c r="ORJ47" s="319"/>
      <c r="ORK47" s="319"/>
      <c r="ORL47" s="319"/>
      <c r="ORM47" s="319"/>
      <c r="ORN47" s="319"/>
      <c r="ORO47" s="319"/>
      <c r="ORP47" s="319"/>
      <c r="ORQ47" s="319"/>
      <c r="ORR47" s="319"/>
      <c r="ORS47" s="319"/>
      <c r="ORT47" s="319"/>
      <c r="ORU47" s="319"/>
      <c r="ORV47" s="319"/>
      <c r="ORW47" s="319"/>
      <c r="ORX47" s="319"/>
      <c r="ORY47" s="319"/>
      <c r="ORZ47" s="319"/>
      <c r="OSA47" s="319"/>
      <c r="OSB47" s="319"/>
      <c r="OSC47" s="319"/>
      <c r="OSD47" s="319"/>
      <c r="OSE47" s="319"/>
      <c r="OSF47" s="319"/>
      <c r="OSG47" s="319"/>
      <c r="OSH47" s="319"/>
      <c r="OSI47" s="319"/>
      <c r="OSJ47" s="319"/>
      <c r="OSK47" s="319"/>
      <c r="OSL47" s="319"/>
      <c r="OSM47" s="319"/>
      <c r="OSN47" s="319"/>
      <c r="OSO47" s="319"/>
      <c r="OSP47" s="319"/>
      <c r="OSQ47" s="319"/>
      <c r="OSR47" s="319"/>
      <c r="OSS47" s="319"/>
      <c r="OST47" s="319"/>
      <c r="OSU47" s="319"/>
      <c r="OSV47" s="319"/>
      <c r="OSW47" s="319"/>
      <c r="OSX47" s="319"/>
      <c r="OSY47" s="319"/>
      <c r="OSZ47" s="319"/>
      <c r="OTA47" s="319"/>
      <c r="OTB47" s="319"/>
      <c r="OTC47" s="319"/>
      <c r="OTD47" s="319"/>
      <c r="OTE47" s="319"/>
      <c r="OTF47" s="319"/>
      <c r="OTG47" s="319"/>
      <c r="OTH47" s="319"/>
      <c r="OTI47" s="319"/>
      <c r="OTJ47" s="319"/>
      <c r="OTK47" s="319"/>
      <c r="OTL47" s="319"/>
      <c r="OTM47" s="319"/>
      <c r="OTN47" s="319"/>
      <c r="OTO47" s="319"/>
      <c r="OTP47" s="319"/>
      <c r="OTQ47" s="319"/>
      <c r="OTR47" s="319"/>
      <c r="OTS47" s="319"/>
      <c r="OTT47" s="319"/>
      <c r="OTU47" s="319"/>
      <c r="OTV47" s="319"/>
      <c r="OTW47" s="319"/>
      <c r="OTX47" s="319"/>
      <c r="OTY47" s="319"/>
      <c r="OTZ47" s="319"/>
      <c r="OUA47" s="319"/>
      <c r="OUB47" s="319"/>
      <c r="OUC47" s="319"/>
      <c r="OUD47" s="319"/>
      <c r="OUE47" s="319"/>
      <c r="OUF47" s="319"/>
      <c r="OUG47" s="319"/>
      <c r="OUH47" s="319"/>
      <c r="OUI47" s="319"/>
      <c r="OUJ47" s="319"/>
      <c r="OUK47" s="319"/>
      <c r="OUL47" s="319"/>
      <c r="OUM47" s="319"/>
      <c r="OUN47" s="319"/>
      <c r="OUO47" s="319"/>
      <c r="OUP47" s="319"/>
      <c r="OUQ47" s="319"/>
      <c r="OUR47" s="319"/>
      <c r="OUS47" s="319"/>
      <c r="OUT47" s="319"/>
      <c r="OUU47" s="319"/>
      <c r="OUV47" s="319"/>
      <c r="OUW47" s="319"/>
      <c r="OUX47" s="319"/>
      <c r="OUY47" s="319"/>
      <c r="OUZ47" s="319"/>
      <c r="OVA47" s="319"/>
      <c r="OVB47" s="319"/>
      <c r="OVC47" s="319"/>
      <c r="OVD47" s="319"/>
      <c r="OVE47" s="319"/>
      <c r="OVF47" s="319"/>
      <c r="OVG47" s="319"/>
      <c r="OVH47" s="319"/>
      <c r="OVI47" s="319"/>
      <c r="OVJ47" s="319"/>
      <c r="OVK47" s="319"/>
      <c r="OVL47" s="319"/>
      <c r="OVM47" s="319"/>
      <c r="OVN47" s="319"/>
      <c r="OVO47" s="319"/>
      <c r="OVP47" s="319"/>
      <c r="OVQ47" s="319"/>
      <c r="OVR47" s="319"/>
      <c r="OVS47" s="319"/>
      <c r="OVT47" s="319"/>
      <c r="OVU47" s="319"/>
      <c r="OVV47" s="319"/>
      <c r="OVW47" s="319"/>
      <c r="OVX47" s="319"/>
      <c r="OVY47" s="319"/>
      <c r="OVZ47" s="319"/>
      <c r="OWA47" s="319"/>
      <c r="OWB47" s="319"/>
      <c r="OWC47" s="319"/>
      <c r="OWD47" s="319"/>
      <c r="OWE47" s="319"/>
      <c r="OWF47" s="319"/>
      <c r="OWG47" s="319"/>
      <c r="OWH47" s="319"/>
      <c r="OWI47" s="319"/>
      <c r="OWJ47" s="319"/>
      <c r="OWK47" s="319"/>
      <c r="OWL47" s="319"/>
      <c r="OWM47" s="319"/>
      <c r="OWN47" s="319"/>
      <c r="OWO47" s="319"/>
      <c r="OWP47" s="319"/>
      <c r="OWQ47" s="319"/>
      <c r="OWR47" s="319"/>
      <c r="OWS47" s="319"/>
      <c r="OWT47" s="319"/>
      <c r="OWU47" s="319"/>
      <c r="OWV47" s="319"/>
      <c r="OWW47" s="319"/>
      <c r="OWX47" s="319"/>
      <c r="OWY47" s="319"/>
      <c r="OWZ47" s="319"/>
      <c r="OXA47" s="319"/>
      <c r="OXB47" s="319"/>
      <c r="OXC47" s="319"/>
      <c r="OXD47" s="319"/>
      <c r="OXE47" s="319"/>
      <c r="OXF47" s="319"/>
      <c r="OXG47" s="319"/>
      <c r="OXH47" s="319"/>
      <c r="OXI47" s="319"/>
      <c r="OXJ47" s="319"/>
      <c r="OXK47" s="319"/>
      <c r="OXL47" s="319"/>
      <c r="OXM47" s="319"/>
      <c r="OXN47" s="319"/>
      <c r="OXO47" s="319"/>
      <c r="OXP47" s="319"/>
      <c r="OXQ47" s="319"/>
      <c r="OXR47" s="319"/>
      <c r="OXS47" s="319"/>
      <c r="OXT47" s="319"/>
      <c r="OXU47" s="319"/>
      <c r="OXV47" s="319"/>
      <c r="OXW47" s="319"/>
      <c r="OXX47" s="319"/>
      <c r="OXY47" s="319"/>
      <c r="OXZ47" s="319"/>
      <c r="OYA47" s="319"/>
      <c r="OYB47" s="319"/>
      <c r="OYC47" s="319"/>
      <c r="OYD47" s="319"/>
      <c r="OYE47" s="319"/>
      <c r="OYF47" s="319"/>
      <c r="OYG47" s="319"/>
      <c r="OYH47" s="319"/>
      <c r="OYI47" s="319"/>
      <c r="OYJ47" s="319"/>
      <c r="OYK47" s="319"/>
      <c r="OYL47" s="319"/>
      <c r="OYM47" s="319"/>
      <c r="OYN47" s="319"/>
      <c r="OYO47" s="319"/>
      <c r="OYP47" s="319"/>
      <c r="OYQ47" s="319"/>
      <c r="OYR47" s="319"/>
      <c r="OYS47" s="319"/>
      <c r="OYT47" s="319"/>
      <c r="OYU47" s="319"/>
      <c r="OYV47" s="319"/>
      <c r="OYW47" s="319"/>
      <c r="OYX47" s="319"/>
      <c r="OYY47" s="319"/>
      <c r="OYZ47" s="319"/>
      <c r="OZA47" s="319"/>
      <c r="OZB47" s="319"/>
      <c r="OZC47" s="319"/>
      <c r="OZD47" s="319"/>
      <c r="OZE47" s="319"/>
      <c r="OZF47" s="319"/>
      <c r="OZG47" s="319"/>
      <c r="OZH47" s="319"/>
      <c r="OZI47" s="319"/>
      <c r="OZJ47" s="319"/>
      <c r="OZK47" s="319"/>
      <c r="OZL47" s="319"/>
      <c r="OZM47" s="319"/>
      <c r="OZN47" s="319"/>
      <c r="OZO47" s="319"/>
      <c r="OZP47" s="319"/>
      <c r="OZQ47" s="319"/>
      <c r="OZR47" s="319"/>
      <c r="OZS47" s="319"/>
      <c r="OZT47" s="319"/>
      <c r="OZU47" s="319"/>
      <c r="OZV47" s="319"/>
      <c r="OZW47" s="319"/>
      <c r="OZX47" s="319"/>
      <c r="OZY47" s="319"/>
      <c r="OZZ47" s="319"/>
      <c r="PAA47" s="319"/>
      <c r="PAB47" s="319"/>
      <c r="PAC47" s="319"/>
      <c r="PAD47" s="319"/>
      <c r="PAE47" s="319"/>
      <c r="PAF47" s="319"/>
      <c r="PAG47" s="319"/>
      <c r="PAH47" s="319"/>
      <c r="PAI47" s="319"/>
      <c r="PAJ47" s="319"/>
      <c r="PAK47" s="319"/>
      <c r="PAL47" s="319"/>
      <c r="PAM47" s="319"/>
      <c r="PAN47" s="319"/>
      <c r="PAO47" s="319"/>
      <c r="PAP47" s="319"/>
      <c r="PAQ47" s="319"/>
      <c r="PAR47" s="319"/>
      <c r="PAS47" s="319"/>
      <c r="PAT47" s="319"/>
      <c r="PAU47" s="319"/>
      <c r="PAV47" s="319"/>
      <c r="PAW47" s="319"/>
      <c r="PAX47" s="319"/>
      <c r="PAY47" s="319"/>
      <c r="PAZ47" s="319"/>
      <c r="PBA47" s="319"/>
      <c r="PBB47" s="319"/>
      <c r="PBC47" s="319"/>
      <c r="PBD47" s="319"/>
      <c r="PBE47" s="319"/>
      <c r="PBF47" s="319"/>
      <c r="PBG47" s="319"/>
      <c r="PBH47" s="319"/>
      <c r="PBI47" s="319"/>
      <c r="PBJ47" s="319"/>
      <c r="PBK47" s="319"/>
      <c r="PBL47" s="319"/>
      <c r="PBM47" s="319"/>
      <c r="PBN47" s="319"/>
      <c r="PBO47" s="319"/>
      <c r="PBP47" s="319"/>
      <c r="PBQ47" s="319"/>
      <c r="PBR47" s="319"/>
      <c r="PBS47" s="319"/>
      <c r="PBT47" s="319"/>
      <c r="PBU47" s="319"/>
      <c r="PBV47" s="319"/>
      <c r="PBW47" s="319"/>
      <c r="PBX47" s="319"/>
      <c r="PBY47" s="319"/>
      <c r="PBZ47" s="319"/>
      <c r="PCA47" s="319"/>
      <c r="PCB47" s="319"/>
      <c r="PCC47" s="319"/>
      <c r="PCD47" s="319"/>
      <c r="PCE47" s="319"/>
      <c r="PCF47" s="319"/>
      <c r="PCG47" s="319"/>
      <c r="PCH47" s="319"/>
      <c r="PCI47" s="319"/>
      <c r="PCJ47" s="319"/>
      <c r="PCK47" s="319"/>
      <c r="PCL47" s="319"/>
      <c r="PCM47" s="319"/>
      <c r="PCN47" s="319"/>
      <c r="PCO47" s="319"/>
      <c r="PCP47" s="319"/>
      <c r="PCQ47" s="319"/>
      <c r="PCR47" s="319"/>
      <c r="PCS47" s="319"/>
      <c r="PCT47" s="319"/>
      <c r="PCU47" s="319"/>
      <c r="PCV47" s="319"/>
      <c r="PCW47" s="319"/>
      <c r="PCX47" s="319"/>
      <c r="PCY47" s="319"/>
      <c r="PCZ47" s="319"/>
      <c r="PDA47" s="319"/>
      <c r="PDB47" s="319"/>
      <c r="PDC47" s="319"/>
      <c r="PDD47" s="319"/>
      <c r="PDE47" s="319"/>
      <c r="PDF47" s="319"/>
      <c r="PDG47" s="319"/>
      <c r="PDH47" s="319"/>
      <c r="PDI47" s="319"/>
      <c r="PDJ47" s="319"/>
      <c r="PDK47" s="319"/>
      <c r="PDL47" s="319"/>
      <c r="PDM47" s="319"/>
      <c r="PDN47" s="319"/>
      <c r="PDO47" s="319"/>
      <c r="PDP47" s="319"/>
      <c r="PDQ47" s="319"/>
      <c r="PDR47" s="319"/>
      <c r="PDS47" s="319"/>
      <c r="PDT47" s="319"/>
      <c r="PDU47" s="319"/>
      <c r="PDV47" s="319"/>
      <c r="PDW47" s="319"/>
      <c r="PDX47" s="319"/>
      <c r="PDY47" s="319"/>
      <c r="PDZ47" s="319"/>
      <c r="PEA47" s="319"/>
      <c r="PEB47" s="319"/>
      <c r="PEC47" s="319"/>
      <c r="PED47" s="319"/>
      <c r="PEE47" s="319"/>
      <c r="PEF47" s="319"/>
      <c r="PEG47" s="319"/>
      <c r="PEH47" s="319"/>
      <c r="PEI47" s="319"/>
      <c r="PEJ47" s="319"/>
      <c r="PEK47" s="319"/>
      <c r="PEL47" s="319"/>
      <c r="PEM47" s="319"/>
      <c r="PEN47" s="319"/>
      <c r="PEO47" s="319"/>
      <c r="PEP47" s="319"/>
      <c r="PEQ47" s="319"/>
      <c r="PER47" s="319"/>
      <c r="PES47" s="319"/>
      <c r="PET47" s="319"/>
      <c r="PEU47" s="319"/>
      <c r="PEV47" s="319"/>
      <c r="PEW47" s="319"/>
      <c r="PEX47" s="319"/>
      <c r="PEY47" s="319"/>
      <c r="PEZ47" s="319"/>
      <c r="PFA47" s="319"/>
      <c r="PFB47" s="319"/>
      <c r="PFC47" s="319"/>
      <c r="PFD47" s="319"/>
      <c r="PFE47" s="319"/>
      <c r="PFF47" s="319"/>
      <c r="PFG47" s="319"/>
      <c r="PFH47" s="319"/>
      <c r="PFI47" s="319"/>
      <c r="PFJ47" s="319"/>
      <c r="PFK47" s="319"/>
      <c r="PFL47" s="319"/>
      <c r="PFM47" s="319"/>
      <c r="PFN47" s="319"/>
      <c r="PFO47" s="319"/>
      <c r="PFP47" s="319"/>
      <c r="PFQ47" s="319"/>
      <c r="PFR47" s="319"/>
      <c r="PFS47" s="319"/>
      <c r="PFT47" s="319"/>
      <c r="PFU47" s="319"/>
      <c r="PFV47" s="319"/>
      <c r="PFW47" s="319"/>
      <c r="PFX47" s="319"/>
      <c r="PFY47" s="319"/>
      <c r="PFZ47" s="319"/>
      <c r="PGA47" s="319"/>
      <c r="PGB47" s="319"/>
      <c r="PGC47" s="319"/>
      <c r="PGD47" s="319"/>
      <c r="PGE47" s="319"/>
      <c r="PGF47" s="319"/>
      <c r="PGG47" s="319"/>
      <c r="PGH47" s="319"/>
      <c r="PGI47" s="319"/>
      <c r="PGJ47" s="319"/>
      <c r="PGK47" s="319"/>
      <c r="PGL47" s="319"/>
      <c r="PGM47" s="319"/>
      <c r="PGN47" s="319"/>
      <c r="PGO47" s="319"/>
      <c r="PGP47" s="319"/>
      <c r="PGQ47" s="319"/>
      <c r="PGR47" s="319"/>
      <c r="PGS47" s="319"/>
      <c r="PGT47" s="319"/>
      <c r="PGU47" s="319"/>
      <c r="PGV47" s="319"/>
      <c r="PGW47" s="319"/>
      <c r="PGX47" s="319"/>
      <c r="PGY47" s="319"/>
      <c r="PGZ47" s="319"/>
      <c r="PHA47" s="319"/>
      <c r="PHB47" s="319"/>
      <c r="PHC47" s="319"/>
      <c r="PHD47" s="319"/>
      <c r="PHE47" s="319"/>
      <c r="PHF47" s="319"/>
      <c r="PHG47" s="319"/>
      <c r="PHH47" s="319"/>
      <c r="PHI47" s="319"/>
      <c r="PHJ47" s="319"/>
      <c r="PHK47" s="319"/>
      <c r="PHL47" s="319"/>
      <c r="PHM47" s="319"/>
      <c r="PHN47" s="319"/>
      <c r="PHO47" s="319"/>
      <c r="PHP47" s="319"/>
      <c r="PHQ47" s="319"/>
      <c r="PHR47" s="319"/>
      <c r="PHS47" s="319"/>
      <c r="PHT47" s="319"/>
      <c r="PHU47" s="319"/>
      <c r="PHV47" s="319"/>
      <c r="PHW47" s="319"/>
      <c r="PHX47" s="319"/>
      <c r="PHY47" s="319"/>
      <c r="PHZ47" s="319"/>
      <c r="PIA47" s="319"/>
      <c r="PIB47" s="319"/>
      <c r="PIC47" s="319"/>
      <c r="PID47" s="319"/>
      <c r="PIE47" s="319"/>
      <c r="PIF47" s="319"/>
      <c r="PIG47" s="319"/>
      <c r="PIH47" s="319"/>
      <c r="PII47" s="319"/>
      <c r="PIJ47" s="319"/>
      <c r="PIK47" s="319"/>
      <c r="PIL47" s="319"/>
      <c r="PIM47" s="319"/>
      <c r="PIN47" s="319"/>
      <c r="PIO47" s="319"/>
      <c r="PIP47" s="319"/>
      <c r="PIQ47" s="319"/>
      <c r="PIR47" s="319"/>
      <c r="PIS47" s="319"/>
      <c r="PIT47" s="319"/>
      <c r="PIU47" s="319"/>
      <c r="PIV47" s="319"/>
      <c r="PIW47" s="319"/>
      <c r="PIX47" s="319"/>
      <c r="PIY47" s="319"/>
      <c r="PIZ47" s="319"/>
      <c r="PJA47" s="319"/>
      <c r="PJB47" s="319"/>
      <c r="PJC47" s="319"/>
      <c r="PJD47" s="319"/>
      <c r="PJE47" s="319"/>
      <c r="PJF47" s="319"/>
      <c r="PJG47" s="319"/>
      <c r="PJH47" s="319"/>
      <c r="PJI47" s="319"/>
      <c r="PJJ47" s="319"/>
      <c r="PJK47" s="319"/>
      <c r="PJL47" s="319"/>
      <c r="PJM47" s="319"/>
      <c r="PJN47" s="319"/>
      <c r="PJO47" s="319"/>
      <c r="PJP47" s="319"/>
      <c r="PJQ47" s="319"/>
      <c r="PJR47" s="319"/>
      <c r="PJS47" s="319"/>
      <c r="PJT47" s="319"/>
      <c r="PJU47" s="319"/>
      <c r="PJV47" s="319"/>
      <c r="PJW47" s="319"/>
      <c r="PJX47" s="319"/>
      <c r="PJY47" s="319"/>
      <c r="PJZ47" s="319"/>
      <c r="PKA47" s="319"/>
      <c r="PKB47" s="319"/>
      <c r="PKC47" s="319"/>
      <c r="PKD47" s="319"/>
      <c r="PKE47" s="319"/>
      <c r="PKF47" s="319"/>
      <c r="PKG47" s="319"/>
      <c r="PKH47" s="319"/>
      <c r="PKI47" s="319"/>
      <c r="PKJ47" s="319"/>
      <c r="PKK47" s="319"/>
      <c r="PKL47" s="319"/>
      <c r="PKM47" s="319"/>
      <c r="PKN47" s="319"/>
      <c r="PKO47" s="319"/>
      <c r="PKP47" s="319"/>
      <c r="PKQ47" s="319"/>
      <c r="PKR47" s="319"/>
      <c r="PKS47" s="319"/>
      <c r="PKT47" s="319"/>
      <c r="PKU47" s="319"/>
      <c r="PKV47" s="319"/>
      <c r="PKW47" s="319"/>
      <c r="PKX47" s="319"/>
      <c r="PKY47" s="319"/>
      <c r="PKZ47" s="319"/>
      <c r="PLA47" s="319"/>
      <c r="PLB47" s="319"/>
      <c r="PLC47" s="319"/>
      <c r="PLD47" s="319"/>
      <c r="PLE47" s="319"/>
      <c r="PLF47" s="319"/>
      <c r="PLG47" s="319"/>
      <c r="PLH47" s="319"/>
      <c r="PLI47" s="319"/>
      <c r="PLJ47" s="319"/>
      <c r="PLK47" s="319"/>
      <c r="PLL47" s="319"/>
      <c r="PLM47" s="319"/>
      <c r="PLN47" s="319"/>
      <c r="PLO47" s="319"/>
      <c r="PLP47" s="319"/>
      <c r="PLQ47" s="319"/>
      <c r="PLR47" s="319"/>
      <c r="PLS47" s="319"/>
      <c r="PLT47" s="319"/>
      <c r="PLU47" s="319"/>
      <c r="PLV47" s="319"/>
      <c r="PLW47" s="319"/>
      <c r="PLX47" s="319"/>
      <c r="PLY47" s="319"/>
      <c r="PLZ47" s="319"/>
      <c r="PMA47" s="319"/>
      <c r="PMB47" s="319"/>
      <c r="PMC47" s="319"/>
      <c r="PMD47" s="319"/>
      <c r="PME47" s="319"/>
      <c r="PMF47" s="319"/>
      <c r="PMG47" s="319"/>
      <c r="PMH47" s="319"/>
      <c r="PMI47" s="319"/>
      <c r="PMJ47" s="319"/>
      <c r="PMK47" s="319"/>
      <c r="PML47" s="319"/>
      <c r="PMM47" s="319"/>
      <c r="PMN47" s="319"/>
      <c r="PMO47" s="319"/>
      <c r="PMP47" s="319"/>
      <c r="PMQ47" s="319"/>
      <c r="PMR47" s="319"/>
      <c r="PMS47" s="319"/>
      <c r="PMT47" s="319"/>
      <c r="PMU47" s="319"/>
      <c r="PMV47" s="319"/>
      <c r="PMW47" s="319"/>
      <c r="PMX47" s="319"/>
      <c r="PMY47" s="319"/>
      <c r="PMZ47" s="319"/>
      <c r="PNA47" s="319"/>
      <c r="PNB47" s="319"/>
      <c r="PNC47" s="319"/>
      <c r="PND47" s="319"/>
      <c r="PNE47" s="319"/>
      <c r="PNF47" s="319"/>
      <c r="PNG47" s="319"/>
      <c r="PNH47" s="319"/>
      <c r="PNI47" s="319"/>
      <c r="PNJ47" s="319"/>
      <c r="PNK47" s="319"/>
      <c r="PNL47" s="319"/>
      <c r="PNM47" s="319"/>
      <c r="PNN47" s="319"/>
      <c r="PNO47" s="319"/>
      <c r="PNP47" s="319"/>
      <c r="PNQ47" s="319"/>
      <c r="PNR47" s="319"/>
      <c r="PNS47" s="319"/>
      <c r="PNT47" s="319"/>
      <c r="PNU47" s="319"/>
      <c r="PNV47" s="319"/>
      <c r="PNW47" s="319"/>
      <c r="PNX47" s="319"/>
      <c r="PNY47" s="319"/>
      <c r="PNZ47" s="319"/>
      <c r="POA47" s="319"/>
      <c r="POB47" s="319"/>
      <c r="POC47" s="319"/>
      <c r="POD47" s="319"/>
      <c r="POE47" s="319"/>
      <c r="POF47" s="319"/>
      <c r="POG47" s="319"/>
      <c r="POH47" s="319"/>
      <c r="POI47" s="319"/>
      <c r="POJ47" s="319"/>
      <c r="POK47" s="319"/>
      <c r="POL47" s="319"/>
      <c r="POM47" s="319"/>
      <c r="PON47" s="319"/>
      <c r="POO47" s="319"/>
      <c r="POP47" s="319"/>
      <c r="POQ47" s="319"/>
      <c r="POR47" s="319"/>
      <c r="POS47" s="319"/>
      <c r="POT47" s="319"/>
      <c r="POU47" s="319"/>
      <c r="POV47" s="319"/>
      <c r="POW47" s="319"/>
      <c r="POX47" s="319"/>
      <c r="POY47" s="319"/>
      <c r="POZ47" s="319"/>
      <c r="PPA47" s="319"/>
      <c r="PPB47" s="319"/>
      <c r="PPC47" s="319"/>
      <c r="PPD47" s="319"/>
      <c r="PPE47" s="319"/>
      <c r="PPF47" s="319"/>
      <c r="PPG47" s="319"/>
      <c r="PPH47" s="319"/>
      <c r="PPI47" s="319"/>
      <c r="PPJ47" s="319"/>
      <c r="PPK47" s="319"/>
      <c r="PPL47" s="319"/>
      <c r="PPM47" s="319"/>
      <c r="PPN47" s="319"/>
      <c r="PPO47" s="319"/>
      <c r="PPP47" s="319"/>
      <c r="PPQ47" s="319"/>
      <c r="PPR47" s="319"/>
      <c r="PPS47" s="319"/>
      <c r="PPT47" s="319"/>
      <c r="PPU47" s="319"/>
      <c r="PPV47" s="319"/>
      <c r="PPW47" s="319"/>
      <c r="PPX47" s="319"/>
      <c r="PPY47" s="319"/>
      <c r="PPZ47" s="319"/>
      <c r="PQA47" s="319"/>
      <c r="PQB47" s="319"/>
      <c r="PQC47" s="319"/>
      <c r="PQD47" s="319"/>
      <c r="PQE47" s="319"/>
      <c r="PQF47" s="319"/>
      <c r="PQG47" s="319"/>
      <c r="PQH47" s="319"/>
      <c r="PQI47" s="319"/>
      <c r="PQJ47" s="319"/>
      <c r="PQK47" s="319"/>
      <c r="PQL47" s="319"/>
      <c r="PQM47" s="319"/>
      <c r="PQN47" s="319"/>
      <c r="PQO47" s="319"/>
      <c r="PQP47" s="319"/>
      <c r="PQQ47" s="319"/>
      <c r="PQR47" s="319"/>
      <c r="PQS47" s="319"/>
      <c r="PQT47" s="319"/>
      <c r="PQU47" s="319"/>
      <c r="PQV47" s="319"/>
      <c r="PQW47" s="319"/>
      <c r="PQX47" s="319"/>
      <c r="PQY47" s="319"/>
      <c r="PQZ47" s="319"/>
      <c r="PRA47" s="319"/>
      <c r="PRB47" s="319"/>
      <c r="PRC47" s="319"/>
      <c r="PRD47" s="319"/>
      <c r="PRE47" s="319"/>
      <c r="PRF47" s="319"/>
      <c r="PRG47" s="319"/>
      <c r="PRH47" s="319"/>
      <c r="PRI47" s="319"/>
      <c r="PRJ47" s="319"/>
      <c r="PRK47" s="319"/>
      <c r="PRL47" s="319"/>
      <c r="PRM47" s="319"/>
      <c r="PRN47" s="319"/>
      <c r="PRO47" s="319"/>
      <c r="PRP47" s="319"/>
      <c r="PRQ47" s="319"/>
      <c r="PRR47" s="319"/>
      <c r="PRS47" s="319"/>
      <c r="PRT47" s="319"/>
      <c r="PRU47" s="319"/>
      <c r="PRV47" s="319"/>
      <c r="PRW47" s="319"/>
      <c r="PRX47" s="319"/>
      <c r="PRY47" s="319"/>
      <c r="PRZ47" s="319"/>
      <c r="PSA47" s="319"/>
      <c r="PSB47" s="319"/>
      <c r="PSC47" s="319"/>
      <c r="PSD47" s="319"/>
      <c r="PSE47" s="319"/>
      <c r="PSF47" s="319"/>
      <c r="PSG47" s="319"/>
      <c r="PSH47" s="319"/>
      <c r="PSI47" s="319"/>
      <c r="PSJ47" s="319"/>
      <c r="PSK47" s="319"/>
      <c r="PSL47" s="319"/>
      <c r="PSM47" s="319"/>
      <c r="PSN47" s="319"/>
      <c r="PSO47" s="319"/>
      <c r="PSP47" s="319"/>
      <c r="PSQ47" s="319"/>
      <c r="PSR47" s="319"/>
      <c r="PSS47" s="319"/>
      <c r="PST47" s="319"/>
      <c r="PSU47" s="319"/>
      <c r="PSV47" s="319"/>
      <c r="PSW47" s="319"/>
      <c r="PSX47" s="319"/>
      <c r="PSY47" s="319"/>
      <c r="PSZ47" s="319"/>
      <c r="PTA47" s="319"/>
      <c r="PTB47" s="319"/>
      <c r="PTC47" s="319"/>
      <c r="PTD47" s="319"/>
      <c r="PTE47" s="319"/>
      <c r="PTF47" s="319"/>
      <c r="PTG47" s="319"/>
      <c r="PTH47" s="319"/>
      <c r="PTI47" s="319"/>
      <c r="PTJ47" s="319"/>
      <c r="PTK47" s="319"/>
      <c r="PTL47" s="319"/>
      <c r="PTM47" s="319"/>
      <c r="PTN47" s="319"/>
      <c r="PTO47" s="319"/>
      <c r="PTP47" s="319"/>
      <c r="PTQ47" s="319"/>
      <c r="PTR47" s="319"/>
      <c r="PTS47" s="319"/>
      <c r="PTT47" s="319"/>
      <c r="PTU47" s="319"/>
      <c r="PTV47" s="319"/>
      <c r="PTW47" s="319"/>
      <c r="PTX47" s="319"/>
      <c r="PTY47" s="319"/>
      <c r="PTZ47" s="319"/>
      <c r="PUA47" s="319"/>
      <c r="PUB47" s="319"/>
      <c r="PUC47" s="319"/>
      <c r="PUD47" s="319"/>
      <c r="PUE47" s="319"/>
      <c r="PUF47" s="319"/>
      <c r="PUG47" s="319"/>
      <c r="PUH47" s="319"/>
      <c r="PUI47" s="319"/>
      <c r="PUJ47" s="319"/>
      <c r="PUK47" s="319"/>
      <c r="PUL47" s="319"/>
      <c r="PUM47" s="319"/>
      <c r="PUN47" s="319"/>
      <c r="PUO47" s="319"/>
      <c r="PUP47" s="319"/>
      <c r="PUQ47" s="319"/>
      <c r="PUR47" s="319"/>
      <c r="PUS47" s="319"/>
      <c r="PUT47" s="319"/>
      <c r="PUU47" s="319"/>
      <c r="PUV47" s="319"/>
      <c r="PUW47" s="319"/>
      <c r="PUX47" s="319"/>
      <c r="PUY47" s="319"/>
      <c r="PUZ47" s="319"/>
      <c r="PVA47" s="319"/>
      <c r="PVB47" s="319"/>
      <c r="PVC47" s="319"/>
      <c r="PVD47" s="319"/>
      <c r="PVE47" s="319"/>
      <c r="PVF47" s="319"/>
      <c r="PVG47" s="319"/>
      <c r="PVH47" s="319"/>
      <c r="PVI47" s="319"/>
      <c r="PVJ47" s="319"/>
      <c r="PVK47" s="319"/>
      <c r="PVL47" s="319"/>
      <c r="PVM47" s="319"/>
      <c r="PVN47" s="319"/>
      <c r="PVO47" s="319"/>
      <c r="PVP47" s="319"/>
      <c r="PVQ47" s="319"/>
      <c r="PVR47" s="319"/>
      <c r="PVS47" s="319"/>
      <c r="PVT47" s="319"/>
      <c r="PVU47" s="319"/>
      <c r="PVV47" s="319"/>
      <c r="PVW47" s="319"/>
      <c r="PVX47" s="319"/>
      <c r="PVY47" s="319"/>
      <c r="PVZ47" s="319"/>
      <c r="PWA47" s="319"/>
      <c r="PWB47" s="319"/>
      <c r="PWC47" s="319"/>
      <c r="PWD47" s="319"/>
      <c r="PWE47" s="319"/>
      <c r="PWF47" s="319"/>
      <c r="PWG47" s="319"/>
      <c r="PWH47" s="319"/>
      <c r="PWI47" s="319"/>
      <c r="PWJ47" s="319"/>
      <c r="PWK47" s="319"/>
      <c r="PWL47" s="319"/>
      <c r="PWM47" s="319"/>
      <c r="PWN47" s="319"/>
      <c r="PWO47" s="319"/>
      <c r="PWP47" s="319"/>
      <c r="PWQ47" s="319"/>
      <c r="PWR47" s="319"/>
      <c r="PWS47" s="319"/>
      <c r="PWT47" s="319"/>
      <c r="PWU47" s="319"/>
      <c r="PWV47" s="319"/>
      <c r="PWW47" s="319"/>
      <c r="PWX47" s="319"/>
      <c r="PWY47" s="319"/>
      <c r="PWZ47" s="319"/>
      <c r="PXA47" s="319"/>
      <c r="PXB47" s="319"/>
      <c r="PXC47" s="319"/>
      <c r="PXD47" s="319"/>
      <c r="PXE47" s="319"/>
      <c r="PXF47" s="319"/>
      <c r="PXG47" s="319"/>
      <c r="PXH47" s="319"/>
      <c r="PXI47" s="319"/>
      <c r="PXJ47" s="319"/>
      <c r="PXK47" s="319"/>
      <c r="PXL47" s="319"/>
      <c r="PXM47" s="319"/>
      <c r="PXN47" s="319"/>
      <c r="PXO47" s="319"/>
      <c r="PXP47" s="319"/>
      <c r="PXQ47" s="319"/>
      <c r="PXR47" s="319"/>
      <c r="PXS47" s="319"/>
      <c r="PXT47" s="319"/>
      <c r="PXU47" s="319"/>
      <c r="PXV47" s="319"/>
      <c r="PXW47" s="319"/>
      <c r="PXX47" s="319"/>
      <c r="PXY47" s="319"/>
      <c r="PXZ47" s="319"/>
      <c r="PYA47" s="319"/>
      <c r="PYB47" s="319"/>
      <c r="PYC47" s="319"/>
      <c r="PYD47" s="319"/>
      <c r="PYE47" s="319"/>
      <c r="PYF47" s="319"/>
      <c r="PYG47" s="319"/>
      <c r="PYH47" s="319"/>
      <c r="PYI47" s="319"/>
      <c r="PYJ47" s="319"/>
      <c r="PYK47" s="319"/>
      <c r="PYL47" s="319"/>
      <c r="PYM47" s="319"/>
      <c r="PYN47" s="319"/>
      <c r="PYO47" s="319"/>
      <c r="PYP47" s="319"/>
      <c r="PYQ47" s="319"/>
      <c r="PYR47" s="319"/>
      <c r="PYS47" s="319"/>
      <c r="PYT47" s="319"/>
      <c r="PYU47" s="319"/>
      <c r="PYV47" s="319"/>
      <c r="PYW47" s="319"/>
      <c r="PYX47" s="319"/>
      <c r="PYY47" s="319"/>
      <c r="PYZ47" s="319"/>
      <c r="PZA47" s="319"/>
      <c r="PZB47" s="319"/>
      <c r="PZC47" s="319"/>
      <c r="PZD47" s="319"/>
      <c r="PZE47" s="319"/>
      <c r="PZF47" s="319"/>
      <c r="PZG47" s="319"/>
      <c r="PZH47" s="319"/>
      <c r="PZI47" s="319"/>
      <c r="PZJ47" s="319"/>
      <c r="PZK47" s="319"/>
      <c r="PZL47" s="319"/>
      <c r="PZM47" s="319"/>
      <c r="PZN47" s="319"/>
      <c r="PZO47" s="319"/>
      <c r="PZP47" s="319"/>
      <c r="PZQ47" s="319"/>
      <c r="PZR47" s="319"/>
      <c r="PZS47" s="319"/>
      <c r="PZT47" s="319"/>
      <c r="PZU47" s="319"/>
      <c r="PZV47" s="319"/>
      <c r="PZW47" s="319"/>
      <c r="PZX47" s="319"/>
      <c r="PZY47" s="319"/>
      <c r="PZZ47" s="319"/>
      <c r="QAA47" s="319"/>
      <c r="QAB47" s="319"/>
      <c r="QAC47" s="319"/>
      <c r="QAD47" s="319"/>
      <c r="QAE47" s="319"/>
      <c r="QAF47" s="319"/>
      <c r="QAG47" s="319"/>
      <c r="QAH47" s="319"/>
      <c r="QAI47" s="319"/>
      <c r="QAJ47" s="319"/>
      <c r="QAK47" s="319"/>
      <c r="QAL47" s="319"/>
      <c r="QAM47" s="319"/>
      <c r="QAN47" s="319"/>
      <c r="QAO47" s="319"/>
      <c r="QAP47" s="319"/>
      <c r="QAQ47" s="319"/>
      <c r="QAR47" s="319"/>
      <c r="QAS47" s="319"/>
      <c r="QAT47" s="319"/>
      <c r="QAU47" s="319"/>
      <c r="QAV47" s="319"/>
      <c r="QAW47" s="319"/>
      <c r="QAX47" s="319"/>
      <c r="QAY47" s="319"/>
      <c r="QAZ47" s="319"/>
      <c r="QBA47" s="319"/>
      <c r="QBB47" s="319"/>
      <c r="QBC47" s="319"/>
      <c r="QBD47" s="319"/>
      <c r="QBE47" s="319"/>
      <c r="QBF47" s="319"/>
      <c r="QBG47" s="319"/>
      <c r="QBH47" s="319"/>
      <c r="QBI47" s="319"/>
      <c r="QBJ47" s="319"/>
      <c r="QBK47" s="319"/>
      <c r="QBL47" s="319"/>
      <c r="QBM47" s="319"/>
      <c r="QBN47" s="319"/>
      <c r="QBO47" s="319"/>
      <c r="QBP47" s="319"/>
      <c r="QBQ47" s="319"/>
      <c r="QBR47" s="319"/>
      <c r="QBS47" s="319"/>
      <c r="QBT47" s="319"/>
      <c r="QBU47" s="319"/>
      <c r="QBV47" s="319"/>
      <c r="QBW47" s="319"/>
      <c r="QBX47" s="319"/>
      <c r="QBY47" s="319"/>
      <c r="QBZ47" s="319"/>
      <c r="QCA47" s="319"/>
      <c r="QCB47" s="319"/>
      <c r="QCC47" s="319"/>
      <c r="QCD47" s="319"/>
      <c r="QCE47" s="319"/>
      <c r="QCF47" s="319"/>
      <c r="QCG47" s="319"/>
      <c r="QCH47" s="319"/>
      <c r="QCI47" s="319"/>
      <c r="QCJ47" s="319"/>
      <c r="QCK47" s="319"/>
      <c r="QCL47" s="319"/>
      <c r="QCM47" s="319"/>
      <c r="QCN47" s="319"/>
      <c r="QCO47" s="319"/>
      <c r="QCP47" s="319"/>
      <c r="QCQ47" s="319"/>
      <c r="QCR47" s="319"/>
      <c r="QCS47" s="319"/>
      <c r="QCT47" s="319"/>
      <c r="QCU47" s="319"/>
      <c r="QCV47" s="319"/>
      <c r="QCW47" s="319"/>
      <c r="QCX47" s="319"/>
      <c r="QCY47" s="319"/>
      <c r="QCZ47" s="319"/>
      <c r="QDA47" s="319"/>
      <c r="QDB47" s="319"/>
      <c r="QDC47" s="319"/>
      <c r="QDD47" s="319"/>
      <c r="QDE47" s="319"/>
      <c r="QDF47" s="319"/>
      <c r="QDG47" s="319"/>
      <c r="QDH47" s="319"/>
      <c r="QDI47" s="319"/>
      <c r="QDJ47" s="319"/>
      <c r="QDK47" s="319"/>
      <c r="QDL47" s="319"/>
      <c r="QDM47" s="319"/>
      <c r="QDN47" s="319"/>
      <c r="QDO47" s="319"/>
      <c r="QDP47" s="319"/>
      <c r="QDQ47" s="319"/>
      <c r="QDR47" s="319"/>
      <c r="QDS47" s="319"/>
      <c r="QDT47" s="319"/>
      <c r="QDU47" s="319"/>
      <c r="QDV47" s="319"/>
      <c r="QDW47" s="319"/>
      <c r="QDX47" s="319"/>
      <c r="QDY47" s="319"/>
      <c r="QDZ47" s="319"/>
      <c r="QEA47" s="319"/>
      <c r="QEB47" s="319"/>
      <c r="QEC47" s="319"/>
      <c r="QED47" s="319"/>
      <c r="QEE47" s="319"/>
      <c r="QEF47" s="319"/>
      <c r="QEG47" s="319"/>
      <c r="QEH47" s="319"/>
      <c r="QEI47" s="319"/>
      <c r="QEJ47" s="319"/>
      <c r="QEK47" s="319"/>
      <c r="QEL47" s="319"/>
      <c r="QEM47" s="319"/>
      <c r="QEN47" s="319"/>
      <c r="QEO47" s="319"/>
      <c r="QEP47" s="319"/>
      <c r="QEQ47" s="319"/>
      <c r="QER47" s="319"/>
      <c r="QES47" s="319"/>
      <c r="QET47" s="319"/>
      <c r="QEU47" s="319"/>
      <c r="QEV47" s="319"/>
      <c r="QEW47" s="319"/>
      <c r="QEX47" s="319"/>
      <c r="QEY47" s="319"/>
      <c r="QEZ47" s="319"/>
      <c r="QFA47" s="319"/>
      <c r="QFB47" s="319"/>
      <c r="QFC47" s="319"/>
      <c r="QFD47" s="319"/>
      <c r="QFE47" s="319"/>
      <c r="QFF47" s="319"/>
      <c r="QFG47" s="319"/>
      <c r="QFH47" s="319"/>
      <c r="QFI47" s="319"/>
      <c r="QFJ47" s="319"/>
      <c r="QFK47" s="319"/>
      <c r="QFL47" s="319"/>
      <c r="QFM47" s="319"/>
      <c r="QFN47" s="319"/>
      <c r="QFO47" s="319"/>
      <c r="QFP47" s="319"/>
      <c r="QFQ47" s="319"/>
      <c r="QFR47" s="319"/>
      <c r="QFS47" s="319"/>
      <c r="QFT47" s="319"/>
      <c r="QFU47" s="319"/>
      <c r="QFV47" s="319"/>
      <c r="QFW47" s="319"/>
      <c r="QFX47" s="319"/>
      <c r="QFY47" s="319"/>
      <c r="QFZ47" s="319"/>
      <c r="QGA47" s="319"/>
      <c r="QGB47" s="319"/>
      <c r="QGC47" s="319"/>
      <c r="QGD47" s="319"/>
      <c r="QGE47" s="319"/>
      <c r="QGF47" s="319"/>
      <c r="QGG47" s="319"/>
      <c r="QGH47" s="319"/>
      <c r="QGI47" s="319"/>
      <c r="QGJ47" s="319"/>
      <c r="QGK47" s="319"/>
      <c r="QGL47" s="319"/>
      <c r="QGM47" s="319"/>
      <c r="QGN47" s="319"/>
      <c r="QGO47" s="319"/>
      <c r="QGP47" s="319"/>
      <c r="QGQ47" s="319"/>
      <c r="QGR47" s="319"/>
      <c r="QGS47" s="319"/>
      <c r="QGT47" s="319"/>
      <c r="QGU47" s="319"/>
      <c r="QGV47" s="319"/>
      <c r="QGW47" s="319"/>
      <c r="QGX47" s="319"/>
      <c r="QGY47" s="319"/>
      <c r="QGZ47" s="319"/>
      <c r="QHA47" s="319"/>
      <c r="QHB47" s="319"/>
      <c r="QHC47" s="319"/>
      <c r="QHD47" s="319"/>
      <c r="QHE47" s="319"/>
      <c r="QHF47" s="319"/>
      <c r="QHG47" s="319"/>
      <c r="QHH47" s="319"/>
      <c r="QHI47" s="319"/>
      <c r="QHJ47" s="319"/>
      <c r="QHK47" s="319"/>
      <c r="QHL47" s="319"/>
      <c r="QHM47" s="319"/>
      <c r="QHN47" s="319"/>
      <c r="QHO47" s="319"/>
      <c r="QHP47" s="319"/>
      <c r="QHQ47" s="319"/>
      <c r="QHR47" s="319"/>
      <c r="QHS47" s="319"/>
      <c r="QHT47" s="319"/>
      <c r="QHU47" s="319"/>
      <c r="QHV47" s="319"/>
      <c r="QHW47" s="319"/>
      <c r="QHX47" s="319"/>
      <c r="QHY47" s="319"/>
      <c r="QHZ47" s="319"/>
      <c r="QIA47" s="319"/>
      <c r="QIB47" s="319"/>
      <c r="QIC47" s="319"/>
      <c r="QID47" s="319"/>
      <c r="QIE47" s="319"/>
      <c r="QIF47" s="319"/>
      <c r="QIG47" s="319"/>
      <c r="QIH47" s="319"/>
      <c r="QII47" s="319"/>
      <c r="QIJ47" s="319"/>
      <c r="QIK47" s="319"/>
      <c r="QIL47" s="319"/>
      <c r="QIM47" s="319"/>
      <c r="QIN47" s="319"/>
      <c r="QIO47" s="319"/>
      <c r="QIP47" s="319"/>
      <c r="QIQ47" s="319"/>
      <c r="QIR47" s="319"/>
      <c r="QIS47" s="319"/>
      <c r="QIT47" s="319"/>
      <c r="QIU47" s="319"/>
      <c r="QIV47" s="319"/>
      <c r="QIW47" s="319"/>
      <c r="QIX47" s="319"/>
      <c r="QIY47" s="319"/>
      <c r="QIZ47" s="319"/>
      <c r="QJA47" s="319"/>
      <c r="QJB47" s="319"/>
      <c r="QJC47" s="319"/>
      <c r="QJD47" s="319"/>
      <c r="QJE47" s="319"/>
      <c r="QJF47" s="319"/>
      <c r="QJG47" s="319"/>
      <c r="QJH47" s="319"/>
      <c r="QJI47" s="319"/>
      <c r="QJJ47" s="319"/>
      <c r="QJK47" s="319"/>
      <c r="QJL47" s="319"/>
      <c r="QJM47" s="319"/>
      <c r="QJN47" s="319"/>
      <c r="QJO47" s="319"/>
      <c r="QJP47" s="319"/>
      <c r="QJQ47" s="319"/>
      <c r="QJR47" s="319"/>
      <c r="QJS47" s="319"/>
      <c r="QJT47" s="319"/>
      <c r="QJU47" s="319"/>
      <c r="QJV47" s="319"/>
      <c r="QJW47" s="319"/>
      <c r="QJX47" s="319"/>
      <c r="QJY47" s="319"/>
      <c r="QJZ47" s="319"/>
      <c r="QKA47" s="319"/>
      <c r="QKB47" s="319"/>
      <c r="QKC47" s="319"/>
      <c r="QKD47" s="319"/>
      <c r="QKE47" s="319"/>
      <c r="QKF47" s="319"/>
      <c r="QKG47" s="319"/>
      <c r="QKH47" s="319"/>
      <c r="QKI47" s="319"/>
      <c r="QKJ47" s="319"/>
      <c r="QKK47" s="319"/>
      <c r="QKL47" s="319"/>
      <c r="QKM47" s="319"/>
      <c r="QKN47" s="319"/>
      <c r="QKO47" s="319"/>
      <c r="QKP47" s="319"/>
      <c r="QKQ47" s="319"/>
      <c r="QKR47" s="319"/>
      <c r="QKS47" s="319"/>
      <c r="QKT47" s="319"/>
      <c r="QKU47" s="319"/>
      <c r="QKV47" s="319"/>
      <c r="QKW47" s="319"/>
      <c r="QKX47" s="319"/>
      <c r="QKY47" s="319"/>
      <c r="QKZ47" s="319"/>
      <c r="QLA47" s="319"/>
      <c r="QLB47" s="319"/>
      <c r="QLC47" s="319"/>
      <c r="QLD47" s="319"/>
      <c r="QLE47" s="319"/>
      <c r="QLF47" s="319"/>
      <c r="QLG47" s="319"/>
      <c r="QLH47" s="319"/>
      <c r="QLI47" s="319"/>
      <c r="QLJ47" s="319"/>
      <c r="QLK47" s="319"/>
      <c r="QLL47" s="319"/>
      <c r="QLM47" s="319"/>
      <c r="QLN47" s="319"/>
      <c r="QLO47" s="319"/>
      <c r="QLP47" s="319"/>
      <c r="QLQ47" s="319"/>
      <c r="QLR47" s="319"/>
      <c r="QLS47" s="319"/>
      <c r="QLT47" s="319"/>
      <c r="QLU47" s="319"/>
      <c r="QLV47" s="319"/>
      <c r="QLW47" s="319"/>
      <c r="QLX47" s="319"/>
      <c r="QLY47" s="319"/>
      <c r="QLZ47" s="319"/>
      <c r="QMA47" s="319"/>
      <c r="QMB47" s="319"/>
      <c r="QMC47" s="319"/>
      <c r="QMD47" s="319"/>
      <c r="QME47" s="319"/>
      <c r="QMF47" s="319"/>
      <c r="QMG47" s="319"/>
      <c r="QMH47" s="319"/>
      <c r="QMI47" s="319"/>
      <c r="QMJ47" s="319"/>
      <c r="QMK47" s="319"/>
      <c r="QML47" s="319"/>
      <c r="QMM47" s="319"/>
      <c r="QMN47" s="319"/>
      <c r="QMO47" s="319"/>
      <c r="QMP47" s="319"/>
      <c r="QMQ47" s="319"/>
      <c r="QMR47" s="319"/>
      <c r="QMS47" s="319"/>
      <c r="QMT47" s="319"/>
      <c r="QMU47" s="319"/>
      <c r="QMV47" s="319"/>
      <c r="QMW47" s="319"/>
      <c r="QMX47" s="319"/>
      <c r="QMY47" s="319"/>
      <c r="QMZ47" s="319"/>
      <c r="QNA47" s="319"/>
      <c r="QNB47" s="319"/>
      <c r="QNC47" s="319"/>
      <c r="QND47" s="319"/>
      <c r="QNE47" s="319"/>
      <c r="QNF47" s="319"/>
      <c r="QNG47" s="319"/>
      <c r="QNH47" s="319"/>
      <c r="QNI47" s="319"/>
      <c r="QNJ47" s="319"/>
      <c r="QNK47" s="319"/>
      <c r="QNL47" s="319"/>
      <c r="QNM47" s="319"/>
      <c r="QNN47" s="319"/>
      <c r="QNO47" s="319"/>
      <c r="QNP47" s="319"/>
      <c r="QNQ47" s="319"/>
      <c r="QNR47" s="319"/>
      <c r="QNS47" s="319"/>
      <c r="QNT47" s="319"/>
      <c r="QNU47" s="319"/>
      <c r="QNV47" s="319"/>
      <c r="QNW47" s="319"/>
      <c r="QNX47" s="319"/>
      <c r="QNY47" s="319"/>
      <c r="QNZ47" s="319"/>
      <c r="QOA47" s="319"/>
      <c r="QOB47" s="319"/>
      <c r="QOC47" s="319"/>
      <c r="QOD47" s="319"/>
      <c r="QOE47" s="319"/>
      <c r="QOF47" s="319"/>
      <c r="QOG47" s="319"/>
      <c r="QOH47" s="319"/>
      <c r="QOI47" s="319"/>
      <c r="QOJ47" s="319"/>
      <c r="QOK47" s="319"/>
      <c r="QOL47" s="319"/>
      <c r="QOM47" s="319"/>
      <c r="QON47" s="319"/>
      <c r="QOO47" s="319"/>
      <c r="QOP47" s="319"/>
      <c r="QOQ47" s="319"/>
      <c r="QOR47" s="319"/>
      <c r="QOS47" s="319"/>
      <c r="QOT47" s="319"/>
      <c r="QOU47" s="319"/>
      <c r="QOV47" s="319"/>
      <c r="QOW47" s="319"/>
      <c r="QOX47" s="319"/>
      <c r="QOY47" s="319"/>
      <c r="QOZ47" s="319"/>
      <c r="QPA47" s="319"/>
      <c r="QPB47" s="319"/>
      <c r="QPC47" s="319"/>
      <c r="QPD47" s="319"/>
      <c r="QPE47" s="319"/>
      <c r="QPF47" s="319"/>
      <c r="QPG47" s="319"/>
      <c r="QPH47" s="319"/>
      <c r="QPI47" s="319"/>
      <c r="QPJ47" s="319"/>
      <c r="QPK47" s="319"/>
      <c r="QPL47" s="319"/>
      <c r="QPM47" s="319"/>
      <c r="QPN47" s="319"/>
      <c r="QPO47" s="319"/>
      <c r="QPP47" s="319"/>
      <c r="QPQ47" s="319"/>
      <c r="QPR47" s="319"/>
      <c r="QPS47" s="319"/>
      <c r="QPT47" s="319"/>
      <c r="QPU47" s="319"/>
      <c r="QPV47" s="319"/>
      <c r="QPW47" s="319"/>
      <c r="QPX47" s="319"/>
      <c r="QPY47" s="319"/>
      <c r="QPZ47" s="319"/>
      <c r="QQA47" s="319"/>
      <c r="QQB47" s="319"/>
      <c r="QQC47" s="319"/>
      <c r="QQD47" s="319"/>
      <c r="QQE47" s="319"/>
      <c r="QQF47" s="319"/>
      <c r="QQG47" s="319"/>
      <c r="QQH47" s="319"/>
      <c r="QQI47" s="319"/>
      <c r="QQJ47" s="319"/>
      <c r="QQK47" s="319"/>
      <c r="QQL47" s="319"/>
      <c r="QQM47" s="319"/>
      <c r="QQN47" s="319"/>
      <c r="QQO47" s="319"/>
      <c r="QQP47" s="319"/>
      <c r="QQQ47" s="319"/>
      <c r="QQR47" s="319"/>
      <c r="QQS47" s="319"/>
      <c r="QQT47" s="319"/>
      <c r="QQU47" s="319"/>
      <c r="QQV47" s="319"/>
      <c r="QQW47" s="319"/>
      <c r="QQX47" s="319"/>
      <c r="QQY47" s="319"/>
      <c r="QQZ47" s="319"/>
      <c r="QRA47" s="319"/>
      <c r="QRB47" s="319"/>
      <c r="QRC47" s="319"/>
      <c r="QRD47" s="319"/>
      <c r="QRE47" s="319"/>
      <c r="QRF47" s="319"/>
      <c r="QRG47" s="319"/>
      <c r="QRH47" s="319"/>
      <c r="QRI47" s="319"/>
      <c r="QRJ47" s="319"/>
      <c r="QRK47" s="319"/>
      <c r="QRL47" s="319"/>
      <c r="QRM47" s="319"/>
      <c r="QRN47" s="319"/>
      <c r="QRO47" s="319"/>
      <c r="QRP47" s="319"/>
      <c r="QRQ47" s="319"/>
      <c r="QRR47" s="319"/>
      <c r="QRS47" s="319"/>
      <c r="QRT47" s="319"/>
      <c r="QRU47" s="319"/>
      <c r="QRV47" s="319"/>
      <c r="QRW47" s="319"/>
      <c r="QRX47" s="319"/>
      <c r="QRY47" s="319"/>
      <c r="QRZ47" s="319"/>
      <c r="QSA47" s="319"/>
      <c r="QSB47" s="319"/>
      <c r="QSC47" s="319"/>
      <c r="QSD47" s="319"/>
      <c r="QSE47" s="319"/>
      <c r="QSF47" s="319"/>
      <c r="QSG47" s="319"/>
      <c r="QSH47" s="319"/>
      <c r="QSI47" s="319"/>
      <c r="QSJ47" s="319"/>
      <c r="QSK47" s="319"/>
      <c r="QSL47" s="319"/>
      <c r="QSM47" s="319"/>
      <c r="QSN47" s="319"/>
      <c r="QSO47" s="319"/>
      <c r="QSP47" s="319"/>
      <c r="QSQ47" s="319"/>
      <c r="QSR47" s="319"/>
      <c r="QSS47" s="319"/>
      <c r="QST47" s="319"/>
      <c r="QSU47" s="319"/>
      <c r="QSV47" s="319"/>
      <c r="QSW47" s="319"/>
      <c r="QSX47" s="319"/>
      <c r="QSY47" s="319"/>
      <c r="QSZ47" s="319"/>
      <c r="QTA47" s="319"/>
      <c r="QTB47" s="319"/>
      <c r="QTC47" s="319"/>
      <c r="QTD47" s="319"/>
      <c r="QTE47" s="319"/>
      <c r="QTF47" s="319"/>
      <c r="QTG47" s="319"/>
      <c r="QTH47" s="319"/>
      <c r="QTI47" s="319"/>
      <c r="QTJ47" s="319"/>
      <c r="QTK47" s="319"/>
      <c r="QTL47" s="319"/>
      <c r="QTM47" s="319"/>
      <c r="QTN47" s="319"/>
      <c r="QTO47" s="319"/>
      <c r="QTP47" s="319"/>
      <c r="QTQ47" s="319"/>
      <c r="QTR47" s="319"/>
      <c r="QTS47" s="319"/>
      <c r="QTT47" s="319"/>
      <c r="QTU47" s="319"/>
      <c r="QTV47" s="319"/>
      <c r="QTW47" s="319"/>
      <c r="QTX47" s="319"/>
      <c r="QTY47" s="319"/>
      <c r="QTZ47" s="319"/>
      <c r="QUA47" s="319"/>
      <c r="QUB47" s="319"/>
      <c r="QUC47" s="319"/>
      <c r="QUD47" s="319"/>
      <c r="QUE47" s="319"/>
      <c r="QUF47" s="319"/>
      <c r="QUG47" s="319"/>
      <c r="QUH47" s="319"/>
      <c r="QUI47" s="319"/>
      <c r="QUJ47" s="319"/>
      <c r="QUK47" s="319"/>
      <c r="QUL47" s="319"/>
      <c r="QUM47" s="319"/>
      <c r="QUN47" s="319"/>
      <c r="QUO47" s="319"/>
      <c r="QUP47" s="319"/>
      <c r="QUQ47" s="319"/>
      <c r="QUR47" s="319"/>
      <c r="QUS47" s="319"/>
      <c r="QUT47" s="319"/>
      <c r="QUU47" s="319"/>
      <c r="QUV47" s="319"/>
      <c r="QUW47" s="319"/>
      <c r="QUX47" s="319"/>
      <c r="QUY47" s="319"/>
      <c r="QUZ47" s="319"/>
      <c r="QVA47" s="319"/>
      <c r="QVB47" s="319"/>
      <c r="QVC47" s="319"/>
      <c r="QVD47" s="319"/>
      <c r="QVE47" s="319"/>
      <c r="QVF47" s="319"/>
      <c r="QVG47" s="319"/>
      <c r="QVH47" s="319"/>
      <c r="QVI47" s="319"/>
      <c r="QVJ47" s="319"/>
      <c r="QVK47" s="319"/>
      <c r="QVL47" s="319"/>
      <c r="QVM47" s="319"/>
      <c r="QVN47" s="319"/>
      <c r="QVO47" s="319"/>
      <c r="QVP47" s="319"/>
      <c r="QVQ47" s="319"/>
      <c r="QVR47" s="319"/>
      <c r="QVS47" s="319"/>
      <c r="QVT47" s="319"/>
      <c r="QVU47" s="319"/>
      <c r="QVV47" s="319"/>
      <c r="QVW47" s="319"/>
      <c r="QVX47" s="319"/>
      <c r="QVY47" s="319"/>
      <c r="QVZ47" s="319"/>
      <c r="QWA47" s="319"/>
      <c r="QWB47" s="319"/>
      <c r="QWC47" s="319"/>
      <c r="QWD47" s="319"/>
      <c r="QWE47" s="319"/>
      <c r="QWF47" s="319"/>
      <c r="QWG47" s="319"/>
      <c r="QWH47" s="319"/>
      <c r="QWI47" s="319"/>
      <c r="QWJ47" s="319"/>
      <c r="QWK47" s="319"/>
      <c r="QWL47" s="319"/>
      <c r="QWM47" s="319"/>
      <c r="QWN47" s="319"/>
      <c r="QWO47" s="319"/>
      <c r="QWP47" s="319"/>
      <c r="QWQ47" s="319"/>
      <c r="QWR47" s="319"/>
      <c r="QWS47" s="319"/>
      <c r="QWT47" s="319"/>
      <c r="QWU47" s="319"/>
      <c r="QWV47" s="319"/>
      <c r="QWW47" s="319"/>
      <c r="QWX47" s="319"/>
      <c r="QWY47" s="319"/>
      <c r="QWZ47" s="319"/>
      <c r="QXA47" s="319"/>
      <c r="QXB47" s="319"/>
      <c r="QXC47" s="319"/>
      <c r="QXD47" s="319"/>
      <c r="QXE47" s="319"/>
      <c r="QXF47" s="319"/>
      <c r="QXG47" s="319"/>
      <c r="QXH47" s="319"/>
      <c r="QXI47" s="319"/>
      <c r="QXJ47" s="319"/>
      <c r="QXK47" s="319"/>
      <c r="QXL47" s="319"/>
      <c r="QXM47" s="319"/>
      <c r="QXN47" s="319"/>
      <c r="QXO47" s="319"/>
      <c r="QXP47" s="319"/>
      <c r="QXQ47" s="319"/>
      <c r="QXR47" s="319"/>
      <c r="QXS47" s="319"/>
      <c r="QXT47" s="319"/>
      <c r="QXU47" s="319"/>
      <c r="QXV47" s="319"/>
      <c r="QXW47" s="319"/>
      <c r="QXX47" s="319"/>
      <c r="QXY47" s="319"/>
      <c r="QXZ47" s="319"/>
      <c r="QYA47" s="319"/>
      <c r="QYB47" s="319"/>
      <c r="QYC47" s="319"/>
      <c r="QYD47" s="319"/>
      <c r="QYE47" s="319"/>
      <c r="QYF47" s="319"/>
      <c r="QYG47" s="319"/>
      <c r="QYH47" s="319"/>
      <c r="QYI47" s="319"/>
      <c r="QYJ47" s="319"/>
      <c r="QYK47" s="319"/>
      <c r="QYL47" s="319"/>
      <c r="QYM47" s="319"/>
      <c r="QYN47" s="319"/>
      <c r="QYO47" s="319"/>
      <c r="QYP47" s="319"/>
      <c r="QYQ47" s="319"/>
      <c r="QYR47" s="319"/>
      <c r="QYS47" s="319"/>
      <c r="QYT47" s="319"/>
      <c r="QYU47" s="319"/>
      <c r="QYV47" s="319"/>
      <c r="QYW47" s="319"/>
      <c r="QYX47" s="319"/>
      <c r="QYY47" s="319"/>
      <c r="QYZ47" s="319"/>
      <c r="QZA47" s="319"/>
      <c r="QZB47" s="319"/>
      <c r="QZC47" s="319"/>
      <c r="QZD47" s="319"/>
      <c r="QZE47" s="319"/>
      <c r="QZF47" s="319"/>
      <c r="QZG47" s="319"/>
      <c r="QZH47" s="319"/>
      <c r="QZI47" s="319"/>
      <c r="QZJ47" s="319"/>
      <c r="QZK47" s="319"/>
      <c r="QZL47" s="319"/>
      <c r="QZM47" s="319"/>
      <c r="QZN47" s="319"/>
      <c r="QZO47" s="319"/>
      <c r="QZP47" s="319"/>
      <c r="QZQ47" s="319"/>
      <c r="QZR47" s="319"/>
      <c r="QZS47" s="319"/>
      <c r="QZT47" s="319"/>
      <c r="QZU47" s="319"/>
      <c r="QZV47" s="319"/>
      <c r="QZW47" s="319"/>
      <c r="QZX47" s="319"/>
      <c r="QZY47" s="319"/>
      <c r="QZZ47" s="319"/>
      <c r="RAA47" s="319"/>
      <c r="RAB47" s="319"/>
      <c r="RAC47" s="319"/>
      <c r="RAD47" s="319"/>
      <c r="RAE47" s="319"/>
      <c r="RAF47" s="319"/>
      <c r="RAG47" s="319"/>
      <c r="RAH47" s="319"/>
      <c r="RAI47" s="319"/>
      <c r="RAJ47" s="319"/>
      <c r="RAK47" s="319"/>
      <c r="RAL47" s="319"/>
      <c r="RAM47" s="319"/>
      <c r="RAN47" s="319"/>
      <c r="RAO47" s="319"/>
      <c r="RAP47" s="319"/>
      <c r="RAQ47" s="319"/>
      <c r="RAR47" s="319"/>
      <c r="RAS47" s="319"/>
      <c r="RAT47" s="319"/>
      <c r="RAU47" s="319"/>
      <c r="RAV47" s="319"/>
      <c r="RAW47" s="319"/>
      <c r="RAX47" s="319"/>
      <c r="RAY47" s="319"/>
      <c r="RAZ47" s="319"/>
      <c r="RBA47" s="319"/>
      <c r="RBB47" s="319"/>
      <c r="RBC47" s="319"/>
      <c r="RBD47" s="319"/>
      <c r="RBE47" s="319"/>
      <c r="RBF47" s="319"/>
      <c r="RBG47" s="319"/>
      <c r="RBH47" s="319"/>
      <c r="RBI47" s="319"/>
      <c r="RBJ47" s="319"/>
      <c r="RBK47" s="319"/>
      <c r="RBL47" s="319"/>
      <c r="RBM47" s="319"/>
      <c r="RBN47" s="319"/>
      <c r="RBO47" s="319"/>
      <c r="RBP47" s="319"/>
      <c r="RBQ47" s="319"/>
      <c r="RBR47" s="319"/>
      <c r="RBS47" s="319"/>
      <c r="RBT47" s="319"/>
      <c r="RBU47" s="319"/>
      <c r="RBV47" s="319"/>
      <c r="RBW47" s="319"/>
      <c r="RBX47" s="319"/>
      <c r="RBY47" s="319"/>
      <c r="RBZ47" s="319"/>
      <c r="RCA47" s="319"/>
      <c r="RCB47" s="319"/>
      <c r="RCC47" s="319"/>
      <c r="RCD47" s="319"/>
      <c r="RCE47" s="319"/>
      <c r="RCF47" s="319"/>
      <c r="RCG47" s="319"/>
      <c r="RCH47" s="319"/>
      <c r="RCI47" s="319"/>
      <c r="RCJ47" s="319"/>
      <c r="RCK47" s="319"/>
      <c r="RCL47" s="319"/>
      <c r="RCM47" s="319"/>
      <c r="RCN47" s="319"/>
      <c r="RCO47" s="319"/>
      <c r="RCP47" s="319"/>
      <c r="RCQ47" s="319"/>
      <c r="RCR47" s="319"/>
      <c r="RCS47" s="319"/>
      <c r="RCT47" s="319"/>
      <c r="RCU47" s="319"/>
      <c r="RCV47" s="319"/>
      <c r="RCW47" s="319"/>
      <c r="RCX47" s="319"/>
      <c r="RCY47" s="319"/>
      <c r="RCZ47" s="319"/>
      <c r="RDA47" s="319"/>
      <c r="RDB47" s="319"/>
      <c r="RDC47" s="319"/>
      <c r="RDD47" s="319"/>
      <c r="RDE47" s="319"/>
      <c r="RDF47" s="319"/>
      <c r="RDG47" s="319"/>
      <c r="RDH47" s="319"/>
      <c r="RDI47" s="319"/>
      <c r="RDJ47" s="319"/>
      <c r="RDK47" s="319"/>
      <c r="RDL47" s="319"/>
      <c r="RDM47" s="319"/>
      <c r="RDN47" s="319"/>
      <c r="RDO47" s="319"/>
      <c r="RDP47" s="319"/>
      <c r="RDQ47" s="319"/>
      <c r="RDR47" s="319"/>
      <c r="RDS47" s="319"/>
      <c r="RDT47" s="319"/>
      <c r="RDU47" s="319"/>
      <c r="RDV47" s="319"/>
      <c r="RDW47" s="319"/>
      <c r="RDX47" s="319"/>
      <c r="RDY47" s="319"/>
      <c r="RDZ47" s="319"/>
      <c r="REA47" s="319"/>
      <c r="REB47" s="319"/>
      <c r="REC47" s="319"/>
      <c r="RED47" s="319"/>
      <c r="REE47" s="319"/>
      <c r="REF47" s="319"/>
      <c r="REG47" s="319"/>
      <c r="REH47" s="319"/>
      <c r="REI47" s="319"/>
      <c r="REJ47" s="319"/>
      <c r="REK47" s="319"/>
      <c r="REL47" s="319"/>
      <c r="REM47" s="319"/>
      <c r="REN47" s="319"/>
      <c r="REO47" s="319"/>
      <c r="REP47" s="319"/>
      <c r="REQ47" s="319"/>
      <c r="RER47" s="319"/>
      <c r="RES47" s="319"/>
      <c r="RET47" s="319"/>
      <c r="REU47" s="319"/>
      <c r="REV47" s="319"/>
      <c r="REW47" s="319"/>
      <c r="REX47" s="319"/>
      <c r="REY47" s="319"/>
      <c r="REZ47" s="319"/>
      <c r="RFA47" s="319"/>
      <c r="RFB47" s="319"/>
      <c r="RFC47" s="319"/>
      <c r="RFD47" s="319"/>
      <c r="RFE47" s="319"/>
      <c r="RFF47" s="319"/>
      <c r="RFG47" s="319"/>
      <c r="RFH47" s="319"/>
      <c r="RFI47" s="319"/>
      <c r="RFJ47" s="319"/>
      <c r="RFK47" s="319"/>
      <c r="RFL47" s="319"/>
      <c r="RFM47" s="319"/>
      <c r="RFN47" s="319"/>
      <c r="RFO47" s="319"/>
      <c r="RFP47" s="319"/>
      <c r="RFQ47" s="319"/>
      <c r="RFR47" s="319"/>
      <c r="RFS47" s="319"/>
      <c r="RFT47" s="319"/>
      <c r="RFU47" s="319"/>
      <c r="RFV47" s="319"/>
      <c r="RFW47" s="319"/>
      <c r="RFX47" s="319"/>
      <c r="RFY47" s="319"/>
      <c r="RFZ47" s="319"/>
      <c r="RGA47" s="319"/>
      <c r="RGB47" s="319"/>
      <c r="RGC47" s="319"/>
      <c r="RGD47" s="319"/>
      <c r="RGE47" s="319"/>
      <c r="RGF47" s="319"/>
      <c r="RGG47" s="319"/>
      <c r="RGH47" s="319"/>
      <c r="RGI47" s="319"/>
      <c r="RGJ47" s="319"/>
      <c r="RGK47" s="319"/>
      <c r="RGL47" s="319"/>
      <c r="RGM47" s="319"/>
      <c r="RGN47" s="319"/>
      <c r="RGO47" s="319"/>
      <c r="RGP47" s="319"/>
      <c r="RGQ47" s="319"/>
      <c r="RGR47" s="319"/>
      <c r="RGS47" s="319"/>
      <c r="RGT47" s="319"/>
      <c r="RGU47" s="319"/>
      <c r="RGV47" s="319"/>
      <c r="RGW47" s="319"/>
      <c r="RGX47" s="319"/>
      <c r="RGY47" s="319"/>
      <c r="RGZ47" s="319"/>
      <c r="RHA47" s="319"/>
      <c r="RHB47" s="319"/>
      <c r="RHC47" s="319"/>
      <c r="RHD47" s="319"/>
      <c r="RHE47" s="319"/>
      <c r="RHF47" s="319"/>
      <c r="RHG47" s="319"/>
      <c r="RHH47" s="319"/>
      <c r="RHI47" s="319"/>
      <c r="RHJ47" s="319"/>
      <c r="RHK47" s="319"/>
      <c r="RHL47" s="319"/>
      <c r="RHM47" s="319"/>
      <c r="RHN47" s="319"/>
      <c r="RHO47" s="319"/>
      <c r="RHP47" s="319"/>
      <c r="RHQ47" s="319"/>
      <c r="RHR47" s="319"/>
      <c r="RHS47" s="319"/>
      <c r="RHT47" s="319"/>
      <c r="RHU47" s="319"/>
      <c r="RHV47" s="319"/>
      <c r="RHW47" s="319"/>
      <c r="RHX47" s="319"/>
      <c r="RHY47" s="319"/>
      <c r="RHZ47" s="319"/>
      <c r="RIA47" s="319"/>
      <c r="RIB47" s="319"/>
      <c r="RIC47" s="319"/>
      <c r="RID47" s="319"/>
      <c r="RIE47" s="319"/>
      <c r="RIF47" s="319"/>
      <c r="RIG47" s="319"/>
      <c r="RIH47" s="319"/>
      <c r="RII47" s="319"/>
      <c r="RIJ47" s="319"/>
      <c r="RIK47" s="319"/>
      <c r="RIL47" s="319"/>
      <c r="RIM47" s="319"/>
      <c r="RIN47" s="319"/>
      <c r="RIO47" s="319"/>
      <c r="RIP47" s="319"/>
      <c r="RIQ47" s="319"/>
      <c r="RIR47" s="319"/>
      <c r="RIS47" s="319"/>
      <c r="RIT47" s="319"/>
      <c r="RIU47" s="319"/>
      <c r="RIV47" s="319"/>
      <c r="RIW47" s="319"/>
      <c r="RIX47" s="319"/>
      <c r="RIY47" s="319"/>
      <c r="RIZ47" s="319"/>
      <c r="RJA47" s="319"/>
      <c r="RJB47" s="319"/>
      <c r="RJC47" s="319"/>
      <c r="RJD47" s="319"/>
      <c r="RJE47" s="319"/>
      <c r="RJF47" s="319"/>
      <c r="RJG47" s="319"/>
      <c r="RJH47" s="319"/>
      <c r="RJI47" s="319"/>
      <c r="RJJ47" s="319"/>
      <c r="RJK47" s="319"/>
      <c r="RJL47" s="319"/>
      <c r="RJM47" s="319"/>
      <c r="RJN47" s="319"/>
      <c r="RJO47" s="319"/>
      <c r="RJP47" s="319"/>
      <c r="RJQ47" s="319"/>
      <c r="RJR47" s="319"/>
      <c r="RJS47" s="319"/>
      <c r="RJT47" s="319"/>
      <c r="RJU47" s="319"/>
      <c r="RJV47" s="319"/>
      <c r="RJW47" s="319"/>
      <c r="RJX47" s="319"/>
      <c r="RJY47" s="319"/>
      <c r="RJZ47" s="319"/>
      <c r="RKA47" s="319"/>
      <c r="RKB47" s="319"/>
      <c r="RKC47" s="319"/>
      <c r="RKD47" s="319"/>
      <c r="RKE47" s="319"/>
      <c r="RKF47" s="319"/>
      <c r="RKG47" s="319"/>
      <c r="RKH47" s="319"/>
      <c r="RKI47" s="319"/>
      <c r="RKJ47" s="319"/>
      <c r="RKK47" s="319"/>
      <c r="RKL47" s="319"/>
      <c r="RKM47" s="319"/>
      <c r="RKN47" s="319"/>
      <c r="RKO47" s="319"/>
      <c r="RKP47" s="319"/>
      <c r="RKQ47" s="319"/>
      <c r="RKR47" s="319"/>
      <c r="RKS47" s="319"/>
      <c r="RKT47" s="319"/>
      <c r="RKU47" s="319"/>
      <c r="RKV47" s="319"/>
      <c r="RKW47" s="319"/>
      <c r="RKX47" s="319"/>
      <c r="RKY47" s="319"/>
      <c r="RKZ47" s="319"/>
      <c r="RLA47" s="319"/>
      <c r="RLB47" s="319"/>
      <c r="RLC47" s="319"/>
      <c r="RLD47" s="319"/>
      <c r="RLE47" s="319"/>
      <c r="RLF47" s="319"/>
      <c r="RLG47" s="319"/>
      <c r="RLH47" s="319"/>
      <c r="RLI47" s="319"/>
      <c r="RLJ47" s="319"/>
      <c r="RLK47" s="319"/>
      <c r="RLL47" s="319"/>
      <c r="RLM47" s="319"/>
      <c r="RLN47" s="319"/>
      <c r="RLO47" s="319"/>
      <c r="RLP47" s="319"/>
      <c r="RLQ47" s="319"/>
      <c r="RLR47" s="319"/>
      <c r="RLS47" s="319"/>
      <c r="RLT47" s="319"/>
      <c r="RLU47" s="319"/>
      <c r="RLV47" s="319"/>
      <c r="RLW47" s="319"/>
      <c r="RLX47" s="319"/>
      <c r="RLY47" s="319"/>
      <c r="RLZ47" s="319"/>
      <c r="RMA47" s="319"/>
      <c r="RMB47" s="319"/>
      <c r="RMC47" s="319"/>
      <c r="RMD47" s="319"/>
      <c r="RME47" s="319"/>
      <c r="RMF47" s="319"/>
      <c r="RMG47" s="319"/>
      <c r="RMH47" s="319"/>
      <c r="RMI47" s="319"/>
      <c r="RMJ47" s="319"/>
      <c r="RMK47" s="319"/>
      <c r="RML47" s="319"/>
      <c r="RMM47" s="319"/>
      <c r="RMN47" s="319"/>
      <c r="RMO47" s="319"/>
      <c r="RMP47" s="319"/>
      <c r="RMQ47" s="319"/>
      <c r="RMR47" s="319"/>
      <c r="RMS47" s="319"/>
      <c r="RMT47" s="319"/>
      <c r="RMU47" s="319"/>
      <c r="RMV47" s="319"/>
      <c r="RMW47" s="319"/>
      <c r="RMX47" s="319"/>
      <c r="RMY47" s="319"/>
      <c r="RMZ47" s="319"/>
      <c r="RNA47" s="319"/>
      <c r="RNB47" s="319"/>
      <c r="RNC47" s="319"/>
      <c r="RND47" s="319"/>
      <c r="RNE47" s="319"/>
      <c r="RNF47" s="319"/>
      <c r="RNG47" s="319"/>
      <c r="RNH47" s="319"/>
      <c r="RNI47" s="319"/>
      <c r="RNJ47" s="319"/>
      <c r="RNK47" s="319"/>
      <c r="RNL47" s="319"/>
      <c r="RNM47" s="319"/>
      <c r="RNN47" s="319"/>
      <c r="RNO47" s="319"/>
      <c r="RNP47" s="319"/>
      <c r="RNQ47" s="319"/>
      <c r="RNR47" s="319"/>
      <c r="RNS47" s="319"/>
      <c r="RNT47" s="319"/>
      <c r="RNU47" s="319"/>
      <c r="RNV47" s="319"/>
      <c r="RNW47" s="319"/>
      <c r="RNX47" s="319"/>
      <c r="RNY47" s="319"/>
      <c r="RNZ47" s="319"/>
      <c r="ROA47" s="319"/>
      <c r="ROB47" s="319"/>
      <c r="ROC47" s="319"/>
      <c r="ROD47" s="319"/>
      <c r="ROE47" s="319"/>
      <c r="ROF47" s="319"/>
      <c r="ROG47" s="319"/>
      <c r="ROH47" s="319"/>
      <c r="ROI47" s="319"/>
      <c r="ROJ47" s="319"/>
      <c r="ROK47" s="319"/>
      <c r="ROL47" s="319"/>
      <c r="ROM47" s="319"/>
      <c r="RON47" s="319"/>
      <c r="ROO47" s="319"/>
      <c r="ROP47" s="319"/>
      <c r="ROQ47" s="319"/>
      <c r="ROR47" s="319"/>
      <c r="ROS47" s="319"/>
      <c r="ROT47" s="319"/>
      <c r="ROU47" s="319"/>
      <c r="ROV47" s="319"/>
      <c r="ROW47" s="319"/>
      <c r="ROX47" s="319"/>
      <c r="ROY47" s="319"/>
      <c r="ROZ47" s="319"/>
      <c r="RPA47" s="319"/>
      <c r="RPB47" s="319"/>
      <c r="RPC47" s="319"/>
      <c r="RPD47" s="319"/>
      <c r="RPE47" s="319"/>
      <c r="RPF47" s="319"/>
      <c r="RPG47" s="319"/>
      <c r="RPH47" s="319"/>
      <c r="RPI47" s="319"/>
      <c r="RPJ47" s="319"/>
      <c r="RPK47" s="319"/>
      <c r="RPL47" s="319"/>
      <c r="RPM47" s="319"/>
      <c r="RPN47" s="319"/>
      <c r="RPO47" s="319"/>
      <c r="RPP47" s="319"/>
      <c r="RPQ47" s="319"/>
      <c r="RPR47" s="319"/>
      <c r="RPS47" s="319"/>
      <c r="RPT47" s="319"/>
      <c r="RPU47" s="319"/>
      <c r="RPV47" s="319"/>
      <c r="RPW47" s="319"/>
      <c r="RPX47" s="319"/>
      <c r="RPY47" s="319"/>
      <c r="RPZ47" s="319"/>
      <c r="RQA47" s="319"/>
      <c r="RQB47" s="319"/>
      <c r="RQC47" s="319"/>
      <c r="RQD47" s="319"/>
      <c r="RQE47" s="319"/>
      <c r="RQF47" s="319"/>
      <c r="RQG47" s="319"/>
      <c r="RQH47" s="319"/>
      <c r="RQI47" s="319"/>
      <c r="RQJ47" s="319"/>
      <c r="RQK47" s="319"/>
      <c r="RQL47" s="319"/>
      <c r="RQM47" s="319"/>
      <c r="RQN47" s="319"/>
      <c r="RQO47" s="319"/>
      <c r="RQP47" s="319"/>
      <c r="RQQ47" s="319"/>
      <c r="RQR47" s="319"/>
      <c r="RQS47" s="319"/>
      <c r="RQT47" s="319"/>
      <c r="RQU47" s="319"/>
      <c r="RQV47" s="319"/>
      <c r="RQW47" s="319"/>
      <c r="RQX47" s="319"/>
      <c r="RQY47" s="319"/>
      <c r="RQZ47" s="319"/>
      <c r="RRA47" s="319"/>
      <c r="RRB47" s="319"/>
      <c r="RRC47" s="319"/>
      <c r="RRD47" s="319"/>
      <c r="RRE47" s="319"/>
      <c r="RRF47" s="319"/>
      <c r="RRG47" s="319"/>
      <c r="RRH47" s="319"/>
      <c r="RRI47" s="319"/>
      <c r="RRJ47" s="319"/>
      <c r="RRK47" s="319"/>
      <c r="RRL47" s="319"/>
      <c r="RRM47" s="319"/>
      <c r="RRN47" s="319"/>
      <c r="RRO47" s="319"/>
      <c r="RRP47" s="319"/>
      <c r="RRQ47" s="319"/>
      <c r="RRR47" s="319"/>
      <c r="RRS47" s="319"/>
      <c r="RRT47" s="319"/>
      <c r="RRU47" s="319"/>
      <c r="RRV47" s="319"/>
      <c r="RRW47" s="319"/>
      <c r="RRX47" s="319"/>
      <c r="RRY47" s="319"/>
      <c r="RRZ47" s="319"/>
      <c r="RSA47" s="319"/>
      <c r="RSB47" s="319"/>
      <c r="RSC47" s="319"/>
      <c r="RSD47" s="319"/>
      <c r="RSE47" s="319"/>
      <c r="RSF47" s="319"/>
      <c r="RSG47" s="319"/>
      <c r="RSH47" s="319"/>
      <c r="RSI47" s="319"/>
      <c r="RSJ47" s="319"/>
      <c r="RSK47" s="319"/>
      <c r="RSL47" s="319"/>
      <c r="RSM47" s="319"/>
      <c r="RSN47" s="319"/>
      <c r="RSO47" s="319"/>
      <c r="RSP47" s="319"/>
      <c r="RSQ47" s="319"/>
      <c r="RSR47" s="319"/>
      <c r="RSS47" s="319"/>
      <c r="RST47" s="319"/>
      <c r="RSU47" s="319"/>
      <c r="RSV47" s="319"/>
      <c r="RSW47" s="319"/>
      <c r="RSX47" s="319"/>
      <c r="RSY47" s="319"/>
      <c r="RSZ47" s="319"/>
      <c r="RTA47" s="319"/>
      <c r="RTB47" s="319"/>
      <c r="RTC47" s="319"/>
      <c r="RTD47" s="319"/>
      <c r="RTE47" s="319"/>
      <c r="RTF47" s="319"/>
      <c r="RTG47" s="319"/>
      <c r="RTH47" s="319"/>
      <c r="RTI47" s="319"/>
      <c r="RTJ47" s="319"/>
      <c r="RTK47" s="319"/>
      <c r="RTL47" s="319"/>
      <c r="RTM47" s="319"/>
      <c r="RTN47" s="319"/>
      <c r="RTO47" s="319"/>
      <c r="RTP47" s="319"/>
      <c r="RTQ47" s="319"/>
      <c r="RTR47" s="319"/>
      <c r="RTS47" s="319"/>
      <c r="RTT47" s="319"/>
      <c r="RTU47" s="319"/>
      <c r="RTV47" s="319"/>
      <c r="RTW47" s="319"/>
      <c r="RTX47" s="319"/>
      <c r="RTY47" s="319"/>
      <c r="RTZ47" s="319"/>
      <c r="RUA47" s="319"/>
      <c r="RUB47" s="319"/>
      <c r="RUC47" s="319"/>
      <c r="RUD47" s="319"/>
      <c r="RUE47" s="319"/>
      <c r="RUF47" s="319"/>
      <c r="RUG47" s="319"/>
      <c r="RUH47" s="319"/>
      <c r="RUI47" s="319"/>
      <c r="RUJ47" s="319"/>
      <c r="RUK47" s="319"/>
      <c r="RUL47" s="319"/>
      <c r="RUM47" s="319"/>
      <c r="RUN47" s="319"/>
      <c r="RUO47" s="319"/>
      <c r="RUP47" s="319"/>
      <c r="RUQ47" s="319"/>
      <c r="RUR47" s="319"/>
      <c r="RUS47" s="319"/>
      <c r="RUT47" s="319"/>
      <c r="RUU47" s="319"/>
      <c r="RUV47" s="319"/>
      <c r="RUW47" s="319"/>
      <c r="RUX47" s="319"/>
      <c r="RUY47" s="319"/>
      <c r="RUZ47" s="319"/>
      <c r="RVA47" s="319"/>
      <c r="RVB47" s="319"/>
      <c r="RVC47" s="319"/>
      <c r="RVD47" s="319"/>
      <c r="RVE47" s="319"/>
      <c r="RVF47" s="319"/>
      <c r="RVG47" s="319"/>
      <c r="RVH47" s="319"/>
      <c r="RVI47" s="319"/>
      <c r="RVJ47" s="319"/>
      <c r="RVK47" s="319"/>
      <c r="RVL47" s="319"/>
      <c r="RVM47" s="319"/>
      <c r="RVN47" s="319"/>
      <c r="RVO47" s="319"/>
      <c r="RVP47" s="319"/>
      <c r="RVQ47" s="319"/>
      <c r="RVR47" s="319"/>
      <c r="RVS47" s="319"/>
      <c r="RVT47" s="319"/>
      <c r="RVU47" s="319"/>
      <c r="RVV47" s="319"/>
      <c r="RVW47" s="319"/>
      <c r="RVX47" s="319"/>
      <c r="RVY47" s="319"/>
      <c r="RVZ47" s="319"/>
      <c r="RWA47" s="319"/>
      <c r="RWB47" s="319"/>
      <c r="RWC47" s="319"/>
      <c r="RWD47" s="319"/>
      <c r="RWE47" s="319"/>
      <c r="RWF47" s="319"/>
      <c r="RWG47" s="319"/>
      <c r="RWH47" s="319"/>
      <c r="RWI47" s="319"/>
      <c r="RWJ47" s="319"/>
      <c r="RWK47" s="319"/>
      <c r="RWL47" s="319"/>
      <c r="RWM47" s="319"/>
      <c r="RWN47" s="319"/>
      <c r="RWO47" s="319"/>
      <c r="RWP47" s="319"/>
      <c r="RWQ47" s="319"/>
      <c r="RWR47" s="319"/>
      <c r="RWS47" s="319"/>
      <c r="RWT47" s="319"/>
      <c r="RWU47" s="319"/>
      <c r="RWV47" s="319"/>
      <c r="RWW47" s="319"/>
      <c r="RWX47" s="319"/>
      <c r="RWY47" s="319"/>
      <c r="RWZ47" s="319"/>
      <c r="RXA47" s="319"/>
      <c r="RXB47" s="319"/>
      <c r="RXC47" s="319"/>
      <c r="RXD47" s="319"/>
      <c r="RXE47" s="319"/>
      <c r="RXF47" s="319"/>
      <c r="RXG47" s="319"/>
      <c r="RXH47" s="319"/>
      <c r="RXI47" s="319"/>
      <c r="RXJ47" s="319"/>
      <c r="RXK47" s="319"/>
      <c r="RXL47" s="319"/>
      <c r="RXM47" s="319"/>
      <c r="RXN47" s="319"/>
      <c r="RXO47" s="319"/>
      <c r="RXP47" s="319"/>
      <c r="RXQ47" s="319"/>
      <c r="RXR47" s="319"/>
      <c r="RXS47" s="319"/>
      <c r="RXT47" s="319"/>
      <c r="RXU47" s="319"/>
      <c r="RXV47" s="319"/>
      <c r="RXW47" s="319"/>
      <c r="RXX47" s="319"/>
      <c r="RXY47" s="319"/>
      <c r="RXZ47" s="319"/>
      <c r="RYA47" s="319"/>
      <c r="RYB47" s="319"/>
      <c r="RYC47" s="319"/>
      <c r="RYD47" s="319"/>
      <c r="RYE47" s="319"/>
      <c r="RYF47" s="319"/>
      <c r="RYG47" s="319"/>
      <c r="RYH47" s="319"/>
      <c r="RYI47" s="319"/>
      <c r="RYJ47" s="319"/>
      <c r="RYK47" s="319"/>
      <c r="RYL47" s="319"/>
      <c r="RYM47" s="319"/>
      <c r="RYN47" s="319"/>
      <c r="RYO47" s="319"/>
      <c r="RYP47" s="319"/>
      <c r="RYQ47" s="319"/>
      <c r="RYR47" s="319"/>
      <c r="RYS47" s="319"/>
      <c r="RYT47" s="319"/>
      <c r="RYU47" s="319"/>
      <c r="RYV47" s="319"/>
      <c r="RYW47" s="319"/>
      <c r="RYX47" s="319"/>
      <c r="RYY47" s="319"/>
      <c r="RYZ47" s="319"/>
      <c r="RZA47" s="319"/>
      <c r="RZB47" s="319"/>
      <c r="RZC47" s="319"/>
      <c r="RZD47" s="319"/>
      <c r="RZE47" s="319"/>
      <c r="RZF47" s="319"/>
      <c r="RZG47" s="319"/>
      <c r="RZH47" s="319"/>
      <c r="RZI47" s="319"/>
      <c r="RZJ47" s="319"/>
      <c r="RZK47" s="319"/>
      <c r="RZL47" s="319"/>
      <c r="RZM47" s="319"/>
      <c r="RZN47" s="319"/>
      <c r="RZO47" s="319"/>
      <c r="RZP47" s="319"/>
      <c r="RZQ47" s="319"/>
      <c r="RZR47" s="319"/>
      <c r="RZS47" s="319"/>
      <c r="RZT47" s="319"/>
      <c r="RZU47" s="319"/>
      <c r="RZV47" s="319"/>
      <c r="RZW47" s="319"/>
      <c r="RZX47" s="319"/>
      <c r="RZY47" s="319"/>
      <c r="RZZ47" s="319"/>
      <c r="SAA47" s="319"/>
      <c r="SAB47" s="319"/>
      <c r="SAC47" s="319"/>
      <c r="SAD47" s="319"/>
      <c r="SAE47" s="319"/>
      <c r="SAF47" s="319"/>
      <c r="SAG47" s="319"/>
      <c r="SAH47" s="319"/>
      <c r="SAI47" s="319"/>
      <c r="SAJ47" s="319"/>
      <c r="SAK47" s="319"/>
      <c r="SAL47" s="319"/>
      <c r="SAM47" s="319"/>
      <c r="SAN47" s="319"/>
      <c r="SAO47" s="319"/>
      <c r="SAP47" s="319"/>
      <c r="SAQ47" s="319"/>
      <c r="SAR47" s="319"/>
      <c r="SAS47" s="319"/>
      <c r="SAT47" s="319"/>
      <c r="SAU47" s="319"/>
      <c r="SAV47" s="319"/>
      <c r="SAW47" s="319"/>
      <c r="SAX47" s="319"/>
      <c r="SAY47" s="319"/>
      <c r="SAZ47" s="319"/>
      <c r="SBA47" s="319"/>
      <c r="SBB47" s="319"/>
      <c r="SBC47" s="319"/>
      <c r="SBD47" s="319"/>
      <c r="SBE47" s="319"/>
      <c r="SBF47" s="319"/>
      <c r="SBG47" s="319"/>
      <c r="SBH47" s="319"/>
      <c r="SBI47" s="319"/>
      <c r="SBJ47" s="319"/>
      <c r="SBK47" s="319"/>
      <c r="SBL47" s="319"/>
      <c r="SBM47" s="319"/>
      <c r="SBN47" s="319"/>
      <c r="SBO47" s="319"/>
      <c r="SBP47" s="319"/>
      <c r="SBQ47" s="319"/>
      <c r="SBR47" s="319"/>
      <c r="SBS47" s="319"/>
      <c r="SBT47" s="319"/>
      <c r="SBU47" s="319"/>
      <c r="SBV47" s="319"/>
      <c r="SBW47" s="319"/>
      <c r="SBX47" s="319"/>
      <c r="SBY47" s="319"/>
      <c r="SBZ47" s="319"/>
      <c r="SCA47" s="319"/>
      <c r="SCB47" s="319"/>
      <c r="SCC47" s="319"/>
      <c r="SCD47" s="319"/>
      <c r="SCE47" s="319"/>
      <c r="SCF47" s="319"/>
      <c r="SCG47" s="319"/>
      <c r="SCH47" s="319"/>
      <c r="SCI47" s="319"/>
      <c r="SCJ47" s="319"/>
      <c r="SCK47" s="319"/>
      <c r="SCL47" s="319"/>
      <c r="SCM47" s="319"/>
      <c r="SCN47" s="319"/>
      <c r="SCO47" s="319"/>
      <c r="SCP47" s="319"/>
      <c r="SCQ47" s="319"/>
      <c r="SCR47" s="319"/>
      <c r="SCS47" s="319"/>
      <c r="SCT47" s="319"/>
      <c r="SCU47" s="319"/>
      <c r="SCV47" s="319"/>
      <c r="SCW47" s="319"/>
      <c r="SCX47" s="319"/>
      <c r="SCY47" s="319"/>
      <c r="SCZ47" s="319"/>
      <c r="SDA47" s="319"/>
      <c r="SDB47" s="319"/>
      <c r="SDC47" s="319"/>
      <c r="SDD47" s="319"/>
      <c r="SDE47" s="319"/>
      <c r="SDF47" s="319"/>
      <c r="SDG47" s="319"/>
      <c r="SDH47" s="319"/>
      <c r="SDI47" s="319"/>
      <c r="SDJ47" s="319"/>
      <c r="SDK47" s="319"/>
      <c r="SDL47" s="319"/>
      <c r="SDM47" s="319"/>
      <c r="SDN47" s="319"/>
      <c r="SDO47" s="319"/>
      <c r="SDP47" s="319"/>
      <c r="SDQ47" s="319"/>
      <c r="SDR47" s="319"/>
      <c r="SDS47" s="319"/>
      <c r="SDT47" s="319"/>
      <c r="SDU47" s="319"/>
      <c r="SDV47" s="319"/>
      <c r="SDW47" s="319"/>
      <c r="SDX47" s="319"/>
      <c r="SDY47" s="319"/>
      <c r="SDZ47" s="319"/>
      <c r="SEA47" s="319"/>
      <c r="SEB47" s="319"/>
      <c r="SEC47" s="319"/>
      <c r="SED47" s="319"/>
      <c r="SEE47" s="319"/>
      <c r="SEF47" s="319"/>
      <c r="SEG47" s="319"/>
      <c r="SEH47" s="319"/>
      <c r="SEI47" s="319"/>
      <c r="SEJ47" s="319"/>
      <c r="SEK47" s="319"/>
      <c r="SEL47" s="319"/>
      <c r="SEM47" s="319"/>
      <c r="SEN47" s="319"/>
      <c r="SEO47" s="319"/>
      <c r="SEP47" s="319"/>
      <c r="SEQ47" s="319"/>
      <c r="SER47" s="319"/>
      <c r="SES47" s="319"/>
      <c r="SET47" s="319"/>
      <c r="SEU47" s="319"/>
      <c r="SEV47" s="319"/>
      <c r="SEW47" s="319"/>
      <c r="SEX47" s="319"/>
      <c r="SEY47" s="319"/>
      <c r="SEZ47" s="319"/>
      <c r="SFA47" s="319"/>
      <c r="SFB47" s="319"/>
      <c r="SFC47" s="319"/>
      <c r="SFD47" s="319"/>
      <c r="SFE47" s="319"/>
      <c r="SFF47" s="319"/>
      <c r="SFG47" s="319"/>
      <c r="SFH47" s="319"/>
      <c r="SFI47" s="319"/>
      <c r="SFJ47" s="319"/>
      <c r="SFK47" s="319"/>
      <c r="SFL47" s="319"/>
      <c r="SFM47" s="319"/>
      <c r="SFN47" s="319"/>
      <c r="SFO47" s="319"/>
      <c r="SFP47" s="319"/>
      <c r="SFQ47" s="319"/>
      <c r="SFR47" s="319"/>
      <c r="SFS47" s="319"/>
      <c r="SFT47" s="319"/>
      <c r="SFU47" s="319"/>
      <c r="SFV47" s="319"/>
      <c r="SFW47" s="319"/>
      <c r="SFX47" s="319"/>
      <c r="SFY47" s="319"/>
      <c r="SFZ47" s="319"/>
      <c r="SGA47" s="319"/>
      <c r="SGB47" s="319"/>
      <c r="SGC47" s="319"/>
      <c r="SGD47" s="319"/>
      <c r="SGE47" s="319"/>
      <c r="SGF47" s="319"/>
      <c r="SGG47" s="319"/>
      <c r="SGH47" s="319"/>
      <c r="SGI47" s="319"/>
      <c r="SGJ47" s="319"/>
      <c r="SGK47" s="319"/>
      <c r="SGL47" s="319"/>
      <c r="SGM47" s="319"/>
      <c r="SGN47" s="319"/>
      <c r="SGO47" s="319"/>
      <c r="SGP47" s="319"/>
      <c r="SGQ47" s="319"/>
      <c r="SGR47" s="319"/>
      <c r="SGS47" s="319"/>
      <c r="SGT47" s="319"/>
      <c r="SGU47" s="319"/>
      <c r="SGV47" s="319"/>
      <c r="SGW47" s="319"/>
      <c r="SGX47" s="319"/>
      <c r="SGY47" s="319"/>
      <c r="SGZ47" s="319"/>
      <c r="SHA47" s="319"/>
      <c r="SHB47" s="319"/>
      <c r="SHC47" s="319"/>
      <c r="SHD47" s="319"/>
      <c r="SHE47" s="319"/>
      <c r="SHF47" s="319"/>
      <c r="SHG47" s="319"/>
      <c r="SHH47" s="319"/>
      <c r="SHI47" s="319"/>
      <c r="SHJ47" s="319"/>
      <c r="SHK47" s="319"/>
      <c r="SHL47" s="319"/>
      <c r="SHM47" s="319"/>
      <c r="SHN47" s="319"/>
      <c r="SHO47" s="319"/>
      <c r="SHP47" s="319"/>
      <c r="SHQ47" s="319"/>
      <c r="SHR47" s="319"/>
      <c r="SHS47" s="319"/>
      <c r="SHT47" s="319"/>
      <c r="SHU47" s="319"/>
      <c r="SHV47" s="319"/>
      <c r="SHW47" s="319"/>
      <c r="SHX47" s="319"/>
      <c r="SHY47" s="319"/>
      <c r="SHZ47" s="319"/>
      <c r="SIA47" s="319"/>
      <c r="SIB47" s="319"/>
      <c r="SIC47" s="319"/>
      <c r="SID47" s="319"/>
      <c r="SIE47" s="319"/>
      <c r="SIF47" s="319"/>
      <c r="SIG47" s="319"/>
      <c r="SIH47" s="319"/>
      <c r="SII47" s="319"/>
      <c r="SIJ47" s="319"/>
      <c r="SIK47" s="319"/>
      <c r="SIL47" s="319"/>
      <c r="SIM47" s="319"/>
      <c r="SIN47" s="319"/>
      <c r="SIO47" s="319"/>
      <c r="SIP47" s="319"/>
      <c r="SIQ47" s="319"/>
      <c r="SIR47" s="319"/>
      <c r="SIS47" s="319"/>
      <c r="SIT47" s="319"/>
      <c r="SIU47" s="319"/>
      <c r="SIV47" s="319"/>
      <c r="SIW47" s="319"/>
      <c r="SIX47" s="319"/>
      <c r="SIY47" s="319"/>
      <c r="SIZ47" s="319"/>
      <c r="SJA47" s="319"/>
      <c r="SJB47" s="319"/>
      <c r="SJC47" s="319"/>
      <c r="SJD47" s="319"/>
      <c r="SJE47" s="319"/>
      <c r="SJF47" s="319"/>
      <c r="SJG47" s="319"/>
      <c r="SJH47" s="319"/>
      <c r="SJI47" s="319"/>
      <c r="SJJ47" s="319"/>
      <c r="SJK47" s="319"/>
      <c r="SJL47" s="319"/>
      <c r="SJM47" s="319"/>
      <c r="SJN47" s="319"/>
      <c r="SJO47" s="319"/>
      <c r="SJP47" s="319"/>
      <c r="SJQ47" s="319"/>
      <c r="SJR47" s="319"/>
      <c r="SJS47" s="319"/>
      <c r="SJT47" s="319"/>
      <c r="SJU47" s="319"/>
      <c r="SJV47" s="319"/>
      <c r="SJW47" s="319"/>
      <c r="SJX47" s="319"/>
      <c r="SJY47" s="319"/>
      <c r="SJZ47" s="319"/>
      <c r="SKA47" s="319"/>
      <c r="SKB47" s="319"/>
      <c r="SKC47" s="319"/>
      <c r="SKD47" s="319"/>
      <c r="SKE47" s="319"/>
      <c r="SKF47" s="319"/>
      <c r="SKG47" s="319"/>
      <c r="SKH47" s="319"/>
      <c r="SKI47" s="319"/>
      <c r="SKJ47" s="319"/>
      <c r="SKK47" s="319"/>
      <c r="SKL47" s="319"/>
      <c r="SKM47" s="319"/>
      <c r="SKN47" s="319"/>
      <c r="SKO47" s="319"/>
      <c r="SKP47" s="319"/>
      <c r="SKQ47" s="319"/>
      <c r="SKR47" s="319"/>
      <c r="SKS47" s="319"/>
      <c r="SKT47" s="319"/>
      <c r="SKU47" s="319"/>
      <c r="SKV47" s="319"/>
      <c r="SKW47" s="319"/>
      <c r="SKX47" s="319"/>
      <c r="SKY47" s="319"/>
      <c r="SKZ47" s="319"/>
      <c r="SLA47" s="319"/>
      <c r="SLB47" s="319"/>
      <c r="SLC47" s="319"/>
      <c r="SLD47" s="319"/>
      <c r="SLE47" s="319"/>
      <c r="SLF47" s="319"/>
      <c r="SLG47" s="319"/>
      <c r="SLH47" s="319"/>
      <c r="SLI47" s="319"/>
      <c r="SLJ47" s="319"/>
      <c r="SLK47" s="319"/>
      <c r="SLL47" s="319"/>
      <c r="SLM47" s="319"/>
      <c r="SLN47" s="319"/>
      <c r="SLO47" s="319"/>
      <c r="SLP47" s="319"/>
      <c r="SLQ47" s="319"/>
      <c r="SLR47" s="319"/>
      <c r="SLS47" s="319"/>
      <c r="SLT47" s="319"/>
      <c r="SLU47" s="319"/>
      <c r="SLV47" s="319"/>
      <c r="SLW47" s="319"/>
      <c r="SLX47" s="319"/>
      <c r="SLY47" s="319"/>
      <c r="SLZ47" s="319"/>
      <c r="SMA47" s="319"/>
      <c r="SMB47" s="319"/>
      <c r="SMC47" s="319"/>
      <c r="SMD47" s="319"/>
      <c r="SME47" s="319"/>
      <c r="SMF47" s="319"/>
      <c r="SMG47" s="319"/>
      <c r="SMH47" s="319"/>
      <c r="SMI47" s="319"/>
      <c r="SMJ47" s="319"/>
      <c r="SMK47" s="319"/>
      <c r="SML47" s="319"/>
      <c r="SMM47" s="319"/>
      <c r="SMN47" s="319"/>
      <c r="SMO47" s="319"/>
      <c r="SMP47" s="319"/>
      <c r="SMQ47" s="319"/>
      <c r="SMR47" s="319"/>
      <c r="SMS47" s="319"/>
      <c r="SMT47" s="319"/>
      <c r="SMU47" s="319"/>
      <c r="SMV47" s="319"/>
      <c r="SMW47" s="319"/>
      <c r="SMX47" s="319"/>
      <c r="SMY47" s="319"/>
      <c r="SMZ47" s="319"/>
      <c r="SNA47" s="319"/>
      <c r="SNB47" s="319"/>
      <c r="SNC47" s="319"/>
      <c r="SND47" s="319"/>
      <c r="SNE47" s="319"/>
      <c r="SNF47" s="319"/>
      <c r="SNG47" s="319"/>
      <c r="SNH47" s="319"/>
      <c r="SNI47" s="319"/>
      <c r="SNJ47" s="319"/>
      <c r="SNK47" s="319"/>
      <c r="SNL47" s="319"/>
      <c r="SNM47" s="319"/>
      <c r="SNN47" s="319"/>
      <c r="SNO47" s="319"/>
      <c r="SNP47" s="319"/>
      <c r="SNQ47" s="319"/>
      <c r="SNR47" s="319"/>
      <c r="SNS47" s="319"/>
      <c r="SNT47" s="319"/>
      <c r="SNU47" s="319"/>
      <c r="SNV47" s="319"/>
      <c r="SNW47" s="319"/>
      <c r="SNX47" s="319"/>
      <c r="SNY47" s="319"/>
      <c r="SNZ47" s="319"/>
      <c r="SOA47" s="319"/>
      <c r="SOB47" s="319"/>
      <c r="SOC47" s="319"/>
      <c r="SOD47" s="319"/>
      <c r="SOE47" s="319"/>
      <c r="SOF47" s="319"/>
      <c r="SOG47" s="319"/>
      <c r="SOH47" s="319"/>
      <c r="SOI47" s="319"/>
      <c r="SOJ47" s="319"/>
      <c r="SOK47" s="319"/>
      <c r="SOL47" s="319"/>
      <c r="SOM47" s="319"/>
      <c r="SON47" s="319"/>
      <c r="SOO47" s="319"/>
      <c r="SOP47" s="319"/>
      <c r="SOQ47" s="319"/>
      <c r="SOR47" s="319"/>
      <c r="SOS47" s="319"/>
      <c r="SOT47" s="319"/>
      <c r="SOU47" s="319"/>
      <c r="SOV47" s="319"/>
      <c r="SOW47" s="319"/>
      <c r="SOX47" s="319"/>
      <c r="SOY47" s="319"/>
      <c r="SOZ47" s="319"/>
      <c r="SPA47" s="319"/>
      <c r="SPB47" s="319"/>
      <c r="SPC47" s="319"/>
      <c r="SPD47" s="319"/>
      <c r="SPE47" s="319"/>
      <c r="SPF47" s="319"/>
      <c r="SPG47" s="319"/>
      <c r="SPH47" s="319"/>
      <c r="SPI47" s="319"/>
      <c r="SPJ47" s="319"/>
      <c r="SPK47" s="319"/>
      <c r="SPL47" s="319"/>
      <c r="SPM47" s="319"/>
      <c r="SPN47" s="319"/>
      <c r="SPO47" s="319"/>
      <c r="SPP47" s="319"/>
      <c r="SPQ47" s="319"/>
      <c r="SPR47" s="319"/>
      <c r="SPS47" s="319"/>
      <c r="SPT47" s="319"/>
      <c r="SPU47" s="319"/>
      <c r="SPV47" s="319"/>
      <c r="SPW47" s="319"/>
      <c r="SPX47" s="319"/>
      <c r="SPY47" s="319"/>
      <c r="SPZ47" s="319"/>
      <c r="SQA47" s="319"/>
      <c r="SQB47" s="319"/>
      <c r="SQC47" s="319"/>
      <c r="SQD47" s="319"/>
      <c r="SQE47" s="319"/>
      <c r="SQF47" s="319"/>
      <c r="SQG47" s="319"/>
      <c r="SQH47" s="319"/>
      <c r="SQI47" s="319"/>
      <c r="SQJ47" s="319"/>
      <c r="SQK47" s="319"/>
      <c r="SQL47" s="319"/>
      <c r="SQM47" s="319"/>
      <c r="SQN47" s="319"/>
      <c r="SQO47" s="319"/>
      <c r="SQP47" s="319"/>
      <c r="SQQ47" s="319"/>
      <c r="SQR47" s="319"/>
      <c r="SQS47" s="319"/>
      <c r="SQT47" s="319"/>
      <c r="SQU47" s="319"/>
      <c r="SQV47" s="319"/>
      <c r="SQW47" s="319"/>
      <c r="SQX47" s="319"/>
      <c r="SQY47" s="319"/>
      <c r="SQZ47" s="319"/>
      <c r="SRA47" s="319"/>
      <c r="SRB47" s="319"/>
      <c r="SRC47" s="319"/>
      <c r="SRD47" s="319"/>
      <c r="SRE47" s="319"/>
      <c r="SRF47" s="319"/>
      <c r="SRG47" s="319"/>
      <c r="SRH47" s="319"/>
      <c r="SRI47" s="319"/>
      <c r="SRJ47" s="319"/>
      <c r="SRK47" s="319"/>
      <c r="SRL47" s="319"/>
      <c r="SRM47" s="319"/>
      <c r="SRN47" s="319"/>
      <c r="SRO47" s="319"/>
      <c r="SRP47" s="319"/>
      <c r="SRQ47" s="319"/>
      <c r="SRR47" s="319"/>
      <c r="SRS47" s="319"/>
      <c r="SRT47" s="319"/>
      <c r="SRU47" s="319"/>
      <c r="SRV47" s="319"/>
      <c r="SRW47" s="319"/>
      <c r="SRX47" s="319"/>
      <c r="SRY47" s="319"/>
      <c r="SRZ47" s="319"/>
      <c r="SSA47" s="319"/>
      <c r="SSB47" s="319"/>
      <c r="SSC47" s="319"/>
      <c r="SSD47" s="319"/>
      <c r="SSE47" s="319"/>
      <c r="SSF47" s="319"/>
      <c r="SSG47" s="319"/>
      <c r="SSH47" s="319"/>
      <c r="SSI47" s="319"/>
      <c r="SSJ47" s="319"/>
      <c r="SSK47" s="319"/>
      <c r="SSL47" s="319"/>
      <c r="SSM47" s="319"/>
      <c r="SSN47" s="319"/>
      <c r="SSO47" s="319"/>
      <c r="SSP47" s="319"/>
      <c r="SSQ47" s="319"/>
      <c r="SSR47" s="319"/>
      <c r="SSS47" s="319"/>
      <c r="SST47" s="319"/>
      <c r="SSU47" s="319"/>
      <c r="SSV47" s="319"/>
      <c r="SSW47" s="319"/>
      <c r="SSX47" s="319"/>
      <c r="SSY47" s="319"/>
      <c r="SSZ47" s="319"/>
      <c r="STA47" s="319"/>
      <c r="STB47" s="319"/>
      <c r="STC47" s="319"/>
      <c r="STD47" s="319"/>
      <c r="STE47" s="319"/>
      <c r="STF47" s="319"/>
      <c r="STG47" s="319"/>
      <c r="STH47" s="319"/>
      <c r="STI47" s="319"/>
      <c r="STJ47" s="319"/>
      <c r="STK47" s="319"/>
      <c r="STL47" s="319"/>
      <c r="STM47" s="319"/>
      <c r="STN47" s="319"/>
      <c r="STO47" s="319"/>
      <c r="STP47" s="319"/>
      <c r="STQ47" s="319"/>
      <c r="STR47" s="319"/>
      <c r="STS47" s="319"/>
      <c r="STT47" s="319"/>
      <c r="STU47" s="319"/>
      <c r="STV47" s="319"/>
      <c r="STW47" s="319"/>
      <c r="STX47" s="319"/>
      <c r="STY47" s="319"/>
      <c r="STZ47" s="319"/>
      <c r="SUA47" s="319"/>
      <c r="SUB47" s="319"/>
      <c r="SUC47" s="319"/>
      <c r="SUD47" s="319"/>
      <c r="SUE47" s="319"/>
      <c r="SUF47" s="319"/>
      <c r="SUG47" s="319"/>
      <c r="SUH47" s="319"/>
      <c r="SUI47" s="319"/>
      <c r="SUJ47" s="319"/>
      <c r="SUK47" s="319"/>
      <c r="SUL47" s="319"/>
      <c r="SUM47" s="319"/>
      <c r="SUN47" s="319"/>
      <c r="SUO47" s="319"/>
      <c r="SUP47" s="319"/>
      <c r="SUQ47" s="319"/>
      <c r="SUR47" s="319"/>
      <c r="SUS47" s="319"/>
      <c r="SUT47" s="319"/>
      <c r="SUU47" s="319"/>
      <c r="SUV47" s="319"/>
      <c r="SUW47" s="319"/>
      <c r="SUX47" s="319"/>
      <c r="SUY47" s="319"/>
      <c r="SUZ47" s="319"/>
      <c r="SVA47" s="319"/>
      <c r="SVB47" s="319"/>
      <c r="SVC47" s="319"/>
      <c r="SVD47" s="319"/>
      <c r="SVE47" s="319"/>
      <c r="SVF47" s="319"/>
      <c r="SVG47" s="319"/>
      <c r="SVH47" s="319"/>
      <c r="SVI47" s="319"/>
      <c r="SVJ47" s="319"/>
      <c r="SVK47" s="319"/>
      <c r="SVL47" s="319"/>
      <c r="SVM47" s="319"/>
      <c r="SVN47" s="319"/>
      <c r="SVO47" s="319"/>
      <c r="SVP47" s="319"/>
      <c r="SVQ47" s="319"/>
      <c r="SVR47" s="319"/>
      <c r="SVS47" s="319"/>
      <c r="SVT47" s="319"/>
      <c r="SVU47" s="319"/>
      <c r="SVV47" s="319"/>
      <c r="SVW47" s="319"/>
      <c r="SVX47" s="319"/>
      <c r="SVY47" s="319"/>
      <c r="SVZ47" s="319"/>
      <c r="SWA47" s="319"/>
      <c r="SWB47" s="319"/>
      <c r="SWC47" s="319"/>
      <c r="SWD47" s="319"/>
      <c r="SWE47" s="319"/>
      <c r="SWF47" s="319"/>
      <c r="SWG47" s="319"/>
      <c r="SWH47" s="319"/>
      <c r="SWI47" s="319"/>
      <c r="SWJ47" s="319"/>
      <c r="SWK47" s="319"/>
      <c r="SWL47" s="319"/>
      <c r="SWM47" s="319"/>
      <c r="SWN47" s="319"/>
      <c r="SWO47" s="319"/>
      <c r="SWP47" s="319"/>
      <c r="SWQ47" s="319"/>
      <c r="SWR47" s="319"/>
      <c r="SWS47" s="319"/>
      <c r="SWT47" s="319"/>
      <c r="SWU47" s="319"/>
      <c r="SWV47" s="319"/>
      <c r="SWW47" s="319"/>
      <c r="SWX47" s="319"/>
      <c r="SWY47" s="319"/>
      <c r="SWZ47" s="319"/>
      <c r="SXA47" s="319"/>
      <c r="SXB47" s="319"/>
      <c r="SXC47" s="319"/>
      <c r="SXD47" s="319"/>
      <c r="SXE47" s="319"/>
      <c r="SXF47" s="319"/>
      <c r="SXG47" s="319"/>
      <c r="SXH47" s="319"/>
      <c r="SXI47" s="319"/>
      <c r="SXJ47" s="319"/>
      <c r="SXK47" s="319"/>
      <c r="SXL47" s="319"/>
      <c r="SXM47" s="319"/>
      <c r="SXN47" s="319"/>
      <c r="SXO47" s="319"/>
      <c r="SXP47" s="319"/>
      <c r="SXQ47" s="319"/>
      <c r="SXR47" s="319"/>
      <c r="SXS47" s="319"/>
      <c r="SXT47" s="319"/>
      <c r="SXU47" s="319"/>
      <c r="SXV47" s="319"/>
      <c r="SXW47" s="319"/>
      <c r="SXX47" s="319"/>
      <c r="SXY47" s="319"/>
      <c r="SXZ47" s="319"/>
      <c r="SYA47" s="319"/>
      <c r="SYB47" s="319"/>
      <c r="SYC47" s="319"/>
      <c r="SYD47" s="319"/>
      <c r="SYE47" s="319"/>
      <c r="SYF47" s="319"/>
      <c r="SYG47" s="319"/>
      <c r="SYH47" s="319"/>
      <c r="SYI47" s="319"/>
      <c r="SYJ47" s="319"/>
      <c r="SYK47" s="319"/>
      <c r="SYL47" s="319"/>
      <c r="SYM47" s="319"/>
      <c r="SYN47" s="319"/>
      <c r="SYO47" s="319"/>
      <c r="SYP47" s="319"/>
      <c r="SYQ47" s="319"/>
      <c r="SYR47" s="319"/>
      <c r="SYS47" s="319"/>
      <c r="SYT47" s="319"/>
      <c r="SYU47" s="319"/>
      <c r="SYV47" s="319"/>
      <c r="SYW47" s="319"/>
      <c r="SYX47" s="319"/>
      <c r="SYY47" s="319"/>
      <c r="SYZ47" s="319"/>
      <c r="SZA47" s="319"/>
      <c r="SZB47" s="319"/>
      <c r="SZC47" s="319"/>
      <c r="SZD47" s="319"/>
      <c r="SZE47" s="319"/>
      <c r="SZF47" s="319"/>
      <c r="SZG47" s="319"/>
      <c r="SZH47" s="319"/>
      <c r="SZI47" s="319"/>
      <c r="SZJ47" s="319"/>
      <c r="SZK47" s="319"/>
      <c r="SZL47" s="319"/>
      <c r="SZM47" s="319"/>
      <c r="SZN47" s="319"/>
      <c r="SZO47" s="319"/>
      <c r="SZP47" s="319"/>
      <c r="SZQ47" s="319"/>
      <c r="SZR47" s="319"/>
      <c r="SZS47" s="319"/>
      <c r="SZT47" s="319"/>
      <c r="SZU47" s="319"/>
      <c r="SZV47" s="319"/>
      <c r="SZW47" s="319"/>
      <c r="SZX47" s="319"/>
      <c r="SZY47" s="319"/>
      <c r="SZZ47" s="319"/>
      <c r="TAA47" s="319"/>
      <c r="TAB47" s="319"/>
      <c r="TAC47" s="319"/>
      <c r="TAD47" s="319"/>
      <c r="TAE47" s="319"/>
      <c r="TAF47" s="319"/>
      <c r="TAG47" s="319"/>
      <c r="TAH47" s="319"/>
      <c r="TAI47" s="319"/>
      <c r="TAJ47" s="319"/>
      <c r="TAK47" s="319"/>
      <c r="TAL47" s="319"/>
      <c r="TAM47" s="319"/>
      <c r="TAN47" s="319"/>
      <c r="TAO47" s="319"/>
      <c r="TAP47" s="319"/>
      <c r="TAQ47" s="319"/>
      <c r="TAR47" s="319"/>
      <c r="TAS47" s="319"/>
      <c r="TAT47" s="319"/>
      <c r="TAU47" s="319"/>
      <c r="TAV47" s="319"/>
      <c r="TAW47" s="319"/>
      <c r="TAX47" s="319"/>
      <c r="TAY47" s="319"/>
      <c r="TAZ47" s="319"/>
      <c r="TBA47" s="319"/>
      <c r="TBB47" s="319"/>
      <c r="TBC47" s="319"/>
      <c r="TBD47" s="319"/>
      <c r="TBE47" s="319"/>
      <c r="TBF47" s="319"/>
      <c r="TBG47" s="319"/>
      <c r="TBH47" s="319"/>
      <c r="TBI47" s="319"/>
      <c r="TBJ47" s="319"/>
      <c r="TBK47" s="319"/>
      <c r="TBL47" s="319"/>
      <c r="TBM47" s="319"/>
      <c r="TBN47" s="319"/>
      <c r="TBO47" s="319"/>
      <c r="TBP47" s="319"/>
      <c r="TBQ47" s="319"/>
      <c r="TBR47" s="319"/>
      <c r="TBS47" s="319"/>
      <c r="TBT47" s="319"/>
      <c r="TBU47" s="319"/>
      <c r="TBV47" s="319"/>
      <c r="TBW47" s="319"/>
      <c r="TBX47" s="319"/>
      <c r="TBY47" s="319"/>
      <c r="TBZ47" s="319"/>
      <c r="TCA47" s="319"/>
      <c r="TCB47" s="319"/>
      <c r="TCC47" s="319"/>
      <c r="TCD47" s="319"/>
      <c r="TCE47" s="319"/>
      <c r="TCF47" s="319"/>
      <c r="TCG47" s="319"/>
      <c r="TCH47" s="319"/>
      <c r="TCI47" s="319"/>
      <c r="TCJ47" s="319"/>
      <c r="TCK47" s="319"/>
      <c r="TCL47" s="319"/>
      <c r="TCM47" s="319"/>
      <c r="TCN47" s="319"/>
      <c r="TCO47" s="319"/>
      <c r="TCP47" s="319"/>
      <c r="TCQ47" s="319"/>
      <c r="TCR47" s="319"/>
      <c r="TCS47" s="319"/>
      <c r="TCT47" s="319"/>
      <c r="TCU47" s="319"/>
      <c r="TCV47" s="319"/>
      <c r="TCW47" s="319"/>
      <c r="TCX47" s="319"/>
      <c r="TCY47" s="319"/>
      <c r="TCZ47" s="319"/>
      <c r="TDA47" s="319"/>
      <c r="TDB47" s="319"/>
      <c r="TDC47" s="319"/>
      <c r="TDD47" s="319"/>
      <c r="TDE47" s="319"/>
      <c r="TDF47" s="319"/>
      <c r="TDG47" s="319"/>
      <c r="TDH47" s="319"/>
      <c r="TDI47" s="319"/>
      <c r="TDJ47" s="319"/>
      <c r="TDK47" s="319"/>
      <c r="TDL47" s="319"/>
      <c r="TDM47" s="319"/>
      <c r="TDN47" s="319"/>
      <c r="TDO47" s="319"/>
      <c r="TDP47" s="319"/>
      <c r="TDQ47" s="319"/>
      <c r="TDR47" s="319"/>
      <c r="TDS47" s="319"/>
      <c r="TDT47" s="319"/>
      <c r="TDU47" s="319"/>
      <c r="TDV47" s="319"/>
      <c r="TDW47" s="319"/>
      <c r="TDX47" s="319"/>
      <c r="TDY47" s="319"/>
      <c r="TDZ47" s="319"/>
      <c r="TEA47" s="319"/>
      <c r="TEB47" s="319"/>
      <c r="TEC47" s="319"/>
      <c r="TED47" s="319"/>
      <c r="TEE47" s="319"/>
      <c r="TEF47" s="319"/>
      <c r="TEG47" s="319"/>
      <c r="TEH47" s="319"/>
      <c r="TEI47" s="319"/>
      <c r="TEJ47" s="319"/>
      <c r="TEK47" s="319"/>
      <c r="TEL47" s="319"/>
      <c r="TEM47" s="319"/>
      <c r="TEN47" s="319"/>
      <c r="TEO47" s="319"/>
      <c r="TEP47" s="319"/>
      <c r="TEQ47" s="319"/>
      <c r="TER47" s="319"/>
      <c r="TES47" s="319"/>
      <c r="TET47" s="319"/>
      <c r="TEU47" s="319"/>
      <c r="TEV47" s="319"/>
      <c r="TEW47" s="319"/>
      <c r="TEX47" s="319"/>
      <c r="TEY47" s="319"/>
      <c r="TEZ47" s="319"/>
      <c r="TFA47" s="319"/>
      <c r="TFB47" s="319"/>
      <c r="TFC47" s="319"/>
      <c r="TFD47" s="319"/>
      <c r="TFE47" s="319"/>
      <c r="TFF47" s="319"/>
      <c r="TFG47" s="319"/>
      <c r="TFH47" s="319"/>
      <c r="TFI47" s="319"/>
      <c r="TFJ47" s="319"/>
      <c r="TFK47" s="319"/>
      <c r="TFL47" s="319"/>
      <c r="TFM47" s="319"/>
      <c r="TFN47" s="319"/>
      <c r="TFO47" s="319"/>
      <c r="TFP47" s="319"/>
      <c r="TFQ47" s="319"/>
      <c r="TFR47" s="319"/>
      <c r="TFS47" s="319"/>
      <c r="TFT47" s="319"/>
      <c r="TFU47" s="319"/>
      <c r="TFV47" s="319"/>
      <c r="TFW47" s="319"/>
      <c r="TFX47" s="319"/>
      <c r="TFY47" s="319"/>
      <c r="TFZ47" s="319"/>
      <c r="TGA47" s="319"/>
      <c r="TGB47" s="319"/>
      <c r="TGC47" s="319"/>
      <c r="TGD47" s="319"/>
      <c r="TGE47" s="319"/>
      <c r="TGF47" s="319"/>
      <c r="TGG47" s="319"/>
      <c r="TGH47" s="319"/>
      <c r="TGI47" s="319"/>
      <c r="TGJ47" s="319"/>
      <c r="TGK47" s="319"/>
      <c r="TGL47" s="319"/>
      <c r="TGM47" s="319"/>
      <c r="TGN47" s="319"/>
      <c r="TGO47" s="319"/>
      <c r="TGP47" s="319"/>
      <c r="TGQ47" s="319"/>
      <c r="TGR47" s="319"/>
      <c r="TGS47" s="319"/>
      <c r="TGT47" s="319"/>
      <c r="TGU47" s="319"/>
      <c r="TGV47" s="319"/>
      <c r="TGW47" s="319"/>
      <c r="TGX47" s="319"/>
      <c r="TGY47" s="319"/>
      <c r="TGZ47" s="319"/>
      <c r="THA47" s="319"/>
      <c r="THB47" s="319"/>
      <c r="THC47" s="319"/>
      <c r="THD47" s="319"/>
      <c r="THE47" s="319"/>
      <c r="THF47" s="319"/>
      <c r="THG47" s="319"/>
      <c r="THH47" s="319"/>
      <c r="THI47" s="319"/>
      <c r="THJ47" s="319"/>
      <c r="THK47" s="319"/>
      <c r="THL47" s="319"/>
      <c r="THM47" s="319"/>
      <c r="THN47" s="319"/>
      <c r="THO47" s="319"/>
      <c r="THP47" s="319"/>
      <c r="THQ47" s="319"/>
      <c r="THR47" s="319"/>
      <c r="THS47" s="319"/>
      <c r="THT47" s="319"/>
      <c r="THU47" s="319"/>
      <c r="THV47" s="319"/>
      <c r="THW47" s="319"/>
      <c r="THX47" s="319"/>
      <c r="THY47" s="319"/>
      <c r="THZ47" s="319"/>
      <c r="TIA47" s="319"/>
      <c r="TIB47" s="319"/>
      <c r="TIC47" s="319"/>
      <c r="TID47" s="319"/>
      <c r="TIE47" s="319"/>
      <c r="TIF47" s="319"/>
      <c r="TIG47" s="319"/>
      <c r="TIH47" s="319"/>
      <c r="TII47" s="319"/>
      <c r="TIJ47" s="319"/>
      <c r="TIK47" s="319"/>
      <c r="TIL47" s="319"/>
      <c r="TIM47" s="319"/>
      <c r="TIN47" s="319"/>
      <c r="TIO47" s="319"/>
      <c r="TIP47" s="319"/>
      <c r="TIQ47" s="319"/>
      <c r="TIR47" s="319"/>
      <c r="TIS47" s="319"/>
      <c r="TIT47" s="319"/>
      <c r="TIU47" s="319"/>
      <c r="TIV47" s="319"/>
      <c r="TIW47" s="319"/>
      <c r="TIX47" s="319"/>
      <c r="TIY47" s="319"/>
      <c r="TIZ47" s="319"/>
      <c r="TJA47" s="319"/>
      <c r="TJB47" s="319"/>
      <c r="TJC47" s="319"/>
      <c r="TJD47" s="319"/>
      <c r="TJE47" s="319"/>
      <c r="TJF47" s="319"/>
      <c r="TJG47" s="319"/>
      <c r="TJH47" s="319"/>
      <c r="TJI47" s="319"/>
      <c r="TJJ47" s="319"/>
      <c r="TJK47" s="319"/>
      <c r="TJL47" s="319"/>
      <c r="TJM47" s="319"/>
      <c r="TJN47" s="319"/>
      <c r="TJO47" s="319"/>
      <c r="TJP47" s="319"/>
      <c r="TJQ47" s="319"/>
      <c r="TJR47" s="319"/>
      <c r="TJS47" s="319"/>
      <c r="TJT47" s="319"/>
      <c r="TJU47" s="319"/>
      <c r="TJV47" s="319"/>
      <c r="TJW47" s="319"/>
      <c r="TJX47" s="319"/>
      <c r="TJY47" s="319"/>
      <c r="TJZ47" s="319"/>
      <c r="TKA47" s="319"/>
      <c r="TKB47" s="319"/>
      <c r="TKC47" s="319"/>
      <c r="TKD47" s="319"/>
      <c r="TKE47" s="319"/>
      <c r="TKF47" s="319"/>
      <c r="TKG47" s="319"/>
      <c r="TKH47" s="319"/>
      <c r="TKI47" s="319"/>
      <c r="TKJ47" s="319"/>
      <c r="TKK47" s="319"/>
      <c r="TKL47" s="319"/>
      <c r="TKM47" s="319"/>
      <c r="TKN47" s="319"/>
      <c r="TKO47" s="319"/>
      <c r="TKP47" s="319"/>
      <c r="TKQ47" s="319"/>
      <c r="TKR47" s="319"/>
      <c r="TKS47" s="319"/>
      <c r="TKT47" s="319"/>
      <c r="TKU47" s="319"/>
      <c r="TKV47" s="319"/>
      <c r="TKW47" s="319"/>
      <c r="TKX47" s="319"/>
      <c r="TKY47" s="319"/>
      <c r="TKZ47" s="319"/>
      <c r="TLA47" s="319"/>
      <c r="TLB47" s="319"/>
      <c r="TLC47" s="319"/>
      <c r="TLD47" s="319"/>
      <c r="TLE47" s="319"/>
      <c r="TLF47" s="319"/>
      <c r="TLG47" s="319"/>
      <c r="TLH47" s="319"/>
      <c r="TLI47" s="319"/>
      <c r="TLJ47" s="319"/>
      <c r="TLK47" s="319"/>
      <c r="TLL47" s="319"/>
      <c r="TLM47" s="319"/>
      <c r="TLN47" s="319"/>
      <c r="TLO47" s="319"/>
      <c r="TLP47" s="319"/>
      <c r="TLQ47" s="319"/>
      <c r="TLR47" s="319"/>
      <c r="TLS47" s="319"/>
      <c r="TLT47" s="319"/>
      <c r="TLU47" s="319"/>
      <c r="TLV47" s="319"/>
      <c r="TLW47" s="319"/>
      <c r="TLX47" s="319"/>
      <c r="TLY47" s="319"/>
      <c r="TLZ47" s="319"/>
      <c r="TMA47" s="319"/>
      <c r="TMB47" s="319"/>
      <c r="TMC47" s="319"/>
      <c r="TMD47" s="319"/>
      <c r="TME47" s="319"/>
      <c r="TMF47" s="319"/>
      <c r="TMG47" s="319"/>
      <c r="TMH47" s="319"/>
      <c r="TMI47" s="319"/>
      <c r="TMJ47" s="319"/>
      <c r="TMK47" s="319"/>
      <c r="TML47" s="319"/>
      <c r="TMM47" s="319"/>
      <c r="TMN47" s="319"/>
      <c r="TMO47" s="319"/>
      <c r="TMP47" s="319"/>
      <c r="TMQ47" s="319"/>
      <c r="TMR47" s="319"/>
      <c r="TMS47" s="319"/>
      <c r="TMT47" s="319"/>
      <c r="TMU47" s="319"/>
      <c r="TMV47" s="319"/>
      <c r="TMW47" s="319"/>
      <c r="TMX47" s="319"/>
      <c r="TMY47" s="319"/>
      <c r="TMZ47" s="319"/>
      <c r="TNA47" s="319"/>
      <c r="TNB47" s="319"/>
      <c r="TNC47" s="319"/>
      <c r="TND47" s="319"/>
      <c r="TNE47" s="319"/>
      <c r="TNF47" s="319"/>
      <c r="TNG47" s="319"/>
      <c r="TNH47" s="319"/>
      <c r="TNI47" s="319"/>
      <c r="TNJ47" s="319"/>
      <c r="TNK47" s="319"/>
      <c r="TNL47" s="319"/>
      <c r="TNM47" s="319"/>
      <c r="TNN47" s="319"/>
      <c r="TNO47" s="319"/>
      <c r="TNP47" s="319"/>
      <c r="TNQ47" s="319"/>
      <c r="TNR47" s="319"/>
      <c r="TNS47" s="319"/>
      <c r="TNT47" s="319"/>
      <c r="TNU47" s="319"/>
      <c r="TNV47" s="319"/>
      <c r="TNW47" s="319"/>
      <c r="TNX47" s="319"/>
      <c r="TNY47" s="319"/>
      <c r="TNZ47" s="319"/>
      <c r="TOA47" s="319"/>
      <c r="TOB47" s="319"/>
      <c r="TOC47" s="319"/>
      <c r="TOD47" s="319"/>
      <c r="TOE47" s="319"/>
      <c r="TOF47" s="319"/>
      <c r="TOG47" s="319"/>
      <c r="TOH47" s="319"/>
      <c r="TOI47" s="319"/>
      <c r="TOJ47" s="319"/>
      <c r="TOK47" s="319"/>
      <c r="TOL47" s="319"/>
      <c r="TOM47" s="319"/>
      <c r="TON47" s="319"/>
      <c r="TOO47" s="319"/>
      <c r="TOP47" s="319"/>
      <c r="TOQ47" s="319"/>
      <c r="TOR47" s="319"/>
      <c r="TOS47" s="319"/>
      <c r="TOT47" s="319"/>
      <c r="TOU47" s="319"/>
      <c r="TOV47" s="319"/>
      <c r="TOW47" s="319"/>
      <c r="TOX47" s="319"/>
      <c r="TOY47" s="319"/>
      <c r="TOZ47" s="319"/>
      <c r="TPA47" s="319"/>
      <c r="TPB47" s="319"/>
      <c r="TPC47" s="319"/>
      <c r="TPD47" s="319"/>
      <c r="TPE47" s="319"/>
      <c r="TPF47" s="319"/>
      <c r="TPG47" s="319"/>
      <c r="TPH47" s="319"/>
      <c r="TPI47" s="319"/>
      <c r="TPJ47" s="319"/>
      <c r="TPK47" s="319"/>
      <c r="TPL47" s="319"/>
      <c r="TPM47" s="319"/>
      <c r="TPN47" s="319"/>
      <c r="TPO47" s="319"/>
      <c r="TPP47" s="319"/>
      <c r="TPQ47" s="319"/>
      <c r="TPR47" s="319"/>
      <c r="TPS47" s="319"/>
      <c r="TPT47" s="319"/>
      <c r="TPU47" s="319"/>
      <c r="TPV47" s="319"/>
      <c r="TPW47" s="319"/>
      <c r="TPX47" s="319"/>
      <c r="TPY47" s="319"/>
      <c r="TPZ47" s="319"/>
      <c r="TQA47" s="319"/>
      <c r="TQB47" s="319"/>
      <c r="TQC47" s="319"/>
      <c r="TQD47" s="319"/>
      <c r="TQE47" s="319"/>
      <c r="TQF47" s="319"/>
      <c r="TQG47" s="319"/>
      <c r="TQH47" s="319"/>
      <c r="TQI47" s="319"/>
      <c r="TQJ47" s="319"/>
      <c r="TQK47" s="319"/>
      <c r="TQL47" s="319"/>
      <c r="TQM47" s="319"/>
      <c r="TQN47" s="319"/>
      <c r="TQO47" s="319"/>
      <c r="TQP47" s="319"/>
      <c r="TQQ47" s="319"/>
      <c r="TQR47" s="319"/>
      <c r="TQS47" s="319"/>
      <c r="TQT47" s="319"/>
      <c r="TQU47" s="319"/>
      <c r="TQV47" s="319"/>
      <c r="TQW47" s="319"/>
      <c r="TQX47" s="319"/>
      <c r="TQY47" s="319"/>
      <c r="TQZ47" s="319"/>
      <c r="TRA47" s="319"/>
      <c r="TRB47" s="319"/>
      <c r="TRC47" s="319"/>
      <c r="TRD47" s="319"/>
      <c r="TRE47" s="319"/>
      <c r="TRF47" s="319"/>
      <c r="TRG47" s="319"/>
      <c r="TRH47" s="319"/>
      <c r="TRI47" s="319"/>
      <c r="TRJ47" s="319"/>
      <c r="TRK47" s="319"/>
      <c r="TRL47" s="319"/>
      <c r="TRM47" s="319"/>
      <c r="TRN47" s="319"/>
      <c r="TRO47" s="319"/>
      <c r="TRP47" s="319"/>
      <c r="TRQ47" s="319"/>
      <c r="TRR47" s="319"/>
      <c r="TRS47" s="319"/>
      <c r="TRT47" s="319"/>
      <c r="TRU47" s="319"/>
      <c r="TRV47" s="319"/>
      <c r="TRW47" s="319"/>
      <c r="TRX47" s="319"/>
      <c r="TRY47" s="319"/>
      <c r="TRZ47" s="319"/>
      <c r="TSA47" s="319"/>
      <c r="TSB47" s="319"/>
      <c r="TSC47" s="319"/>
      <c r="TSD47" s="319"/>
      <c r="TSE47" s="319"/>
      <c r="TSF47" s="319"/>
      <c r="TSG47" s="319"/>
      <c r="TSH47" s="319"/>
      <c r="TSI47" s="319"/>
      <c r="TSJ47" s="319"/>
      <c r="TSK47" s="319"/>
      <c r="TSL47" s="319"/>
      <c r="TSM47" s="319"/>
      <c r="TSN47" s="319"/>
      <c r="TSO47" s="319"/>
      <c r="TSP47" s="319"/>
      <c r="TSQ47" s="319"/>
      <c r="TSR47" s="319"/>
      <c r="TSS47" s="319"/>
      <c r="TST47" s="319"/>
      <c r="TSU47" s="319"/>
      <c r="TSV47" s="319"/>
      <c r="TSW47" s="319"/>
      <c r="TSX47" s="319"/>
      <c r="TSY47" s="319"/>
      <c r="TSZ47" s="319"/>
      <c r="TTA47" s="319"/>
      <c r="TTB47" s="319"/>
      <c r="TTC47" s="319"/>
      <c r="TTD47" s="319"/>
      <c r="TTE47" s="319"/>
      <c r="TTF47" s="319"/>
      <c r="TTG47" s="319"/>
      <c r="TTH47" s="319"/>
      <c r="TTI47" s="319"/>
      <c r="TTJ47" s="319"/>
      <c r="TTK47" s="319"/>
      <c r="TTL47" s="319"/>
      <c r="TTM47" s="319"/>
      <c r="TTN47" s="319"/>
      <c r="TTO47" s="319"/>
      <c r="TTP47" s="319"/>
      <c r="TTQ47" s="319"/>
      <c r="TTR47" s="319"/>
      <c r="TTS47" s="319"/>
      <c r="TTT47" s="319"/>
      <c r="TTU47" s="319"/>
      <c r="TTV47" s="319"/>
      <c r="TTW47" s="319"/>
      <c r="TTX47" s="319"/>
      <c r="TTY47" s="319"/>
      <c r="TTZ47" s="319"/>
      <c r="TUA47" s="319"/>
      <c r="TUB47" s="319"/>
      <c r="TUC47" s="319"/>
      <c r="TUD47" s="319"/>
      <c r="TUE47" s="319"/>
      <c r="TUF47" s="319"/>
      <c r="TUG47" s="319"/>
      <c r="TUH47" s="319"/>
      <c r="TUI47" s="319"/>
      <c r="TUJ47" s="319"/>
      <c r="TUK47" s="319"/>
      <c r="TUL47" s="319"/>
      <c r="TUM47" s="319"/>
      <c r="TUN47" s="319"/>
      <c r="TUO47" s="319"/>
      <c r="TUP47" s="319"/>
      <c r="TUQ47" s="319"/>
      <c r="TUR47" s="319"/>
      <c r="TUS47" s="319"/>
      <c r="TUT47" s="319"/>
      <c r="TUU47" s="319"/>
      <c r="TUV47" s="319"/>
      <c r="TUW47" s="319"/>
      <c r="TUX47" s="319"/>
      <c r="TUY47" s="319"/>
      <c r="TUZ47" s="319"/>
      <c r="TVA47" s="319"/>
      <c r="TVB47" s="319"/>
      <c r="TVC47" s="319"/>
      <c r="TVD47" s="319"/>
      <c r="TVE47" s="319"/>
      <c r="TVF47" s="319"/>
      <c r="TVG47" s="319"/>
      <c r="TVH47" s="319"/>
      <c r="TVI47" s="319"/>
      <c r="TVJ47" s="319"/>
      <c r="TVK47" s="319"/>
      <c r="TVL47" s="319"/>
      <c r="TVM47" s="319"/>
      <c r="TVN47" s="319"/>
      <c r="TVO47" s="319"/>
      <c r="TVP47" s="319"/>
      <c r="TVQ47" s="319"/>
      <c r="TVR47" s="319"/>
      <c r="TVS47" s="319"/>
      <c r="TVT47" s="319"/>
      <c r="TVU47" s="319"/>
      <c r="TVV47" s="319"/>
      <c r="TVW47" s="319"/>
      <c r="TVX47" s="319"/>
      <c r="TVY47" s="319"/>
      <c r="TVZ47" s="319"/>
      <c r="TWA47" s="319"/>
      <c r="TWB47" s="319"/>
      <c r="TWC47" s="319"/>
      <c r="TWD47" s="319"/>
      <c r="TWE47" s="319"/>
      <c r="TWF47" s="319"/>
      <c r="TWG47" s="319"/>
      <c r="TWH47" s="319"/>
      <c r="TWI47" s="319"/>
      <c r="TWJ47" s="319"/>
      <c r="TWK47" s="319"/>
      <c r="TWL47" s="319"/>
      <c r="TWM47" s="319"/>
      <c r="TWN47" s="319"/>
      <c r="TWO47" s="319"/>
      <c r="TWP47" s="319"/>
      <c r="TWQ47" s="319"/>
      <c r="TWR47" s="319"/>
      <c r="TWS47" s="319"/>
      <c r="TWT47" s="319"/>
      <c r="TWU47" s="319"/>
      <c r="TWV47" s="319"/>
      <c r="TWW47" s="319"/>
      <c r="TWX47" s="319"/>
      <c r="TWY47" s="319"/>
      <c r="TWZ47" s="319"/>
      <c r="TXA47" s="319"/>
      <c r="TXB47" s="319"/>
      <c r="TXC47" s="319"/>
      <c r="TXD47" s="319"/>
      <c r="TXE47" s="319"/>
      <c r="TXF47" s="319"/>
      <c r="TXG47" s="319"/>
      <c r="TXH47" s="319"/>
      <c r="TXI47" s="319"/>
      <c r="TXJ47" s="319"/>
      <c r="TXK47" s="319"/>
      <c r="TXL47" s="319"/>
      <c r="TXM47" s="319"/>
      <c r="TXN47" s="319"/>
      <c r="TXO47" s="319"/>
      <c r="TXP47" s="319"/>
      <c r="TXQ47" s="319"/>
      <c r="TXR47" s="319"/>
      <c r="TXS47" s="319"/>
      <c r="TXT47" s="319"/>
      <c r="TXU47" s="319"/>
      <c r="TXV47" s="319"/>
      <c r="TXW47" s="319"/>
      <c r="TXX47" s="319"/>
      <c r="TXY47" s="319"/>
      <c r="TXZ47" s="319"/>
      <c r="TYA47" s="319"/>
      <c r="TYB47" s="319"/>
      <c r="TYC47" s="319"/>
      <c r="TYD47" s="319"/>
      <c r="TYE47" s="319"/>
      <c r="TYF47" s="319"/>
      <c r="TYG47" s="319"/>
      <c r="TYH47" s="319"/>
      <c r="TYI47" s="319"/>
      <c r="TYJ47" s="319"/>
      <c r="TYK47" s="319"/>
      <c r="TYL47" s="319"/>
      <c r="TYM47" s="319"/>
      <c r="TYN47" s="319"/>
      <c r="TYO47" s="319"/>
      <c r="TYP47" s="319"/>
      <c r="TYQ47" s="319"/>
      <c r="TYR47" s="319"/>
      <c r="TYS47" s="319"/>
      <c r="TYT47" s="319"/>
      <c r="TYU47" s="319"/>
      <c r="TYV47" s="319"/>
      <c r="TYW47" s="319"/>
      <c r="TYX47" s="319"/>
      <c r="TYY47" s="319"/>
      <c r="TYZ47" s="319"/>
      <c r="TZA47" s="319"/>
      <c r="TZB47" s="319"/>
      <c r="TZC47" s="319"/>
      <c r="TZD47" s="319"/>
      <c r="TZE47" s="319"/>
      <c r="TZF47" s="319"/>
      <c r="TZG47" s="319"/>
      <c r="TZH47" s="319"/>
      <c r="TZI47" s="319"/>
      <c r="TZJ47" s="319"/>
      <c r="TZK47" s="319"/>
      <c r="TZL47" s="319"/>
      <c r="TZM47" s="319"/>
      <c r="TZN47" s="319"/>
      <c r="TZO47" s="319"/>
      <c r="TZP47" s="319"/>
      <c r="TZQ47" s="319"/>
      <c r="TZR47" s="319"/>
      <c r="TZS47" s="319"/>
      <c r="TZT47" s="319"/>
      <c r="TZU47" s="319"/>
      <c r="TZV47" s="319"/>
      <c r="TZW47" s="319"/>
      <c r="TZX47" s="319"/>
      <c r="TZY47" s="319"/>
      <c r="TZZ47" s="319"/>
      <c r="UAA47" s="319"/>
      <c r="UAB47" s="319"/>
      <c r="UAC47" s="319"/>
      <c r="UAD47" s="319"/>
      <c r="UAE47" s="319"/>
      <c r="UAF47" s="319"/>
      <c r="UAG47" s="319"/>
      <c r="UAH47" s="319"/>
      <c r="UAI47" s="319"/>
      <c r="UAJ47" s="319"/>
      <c r="UAK47" s="319"/>
      <c r="UAL47" s="319"/>
      <c r="UAM47" s="319"/>
      <c r="UAN47" s="319"/>
      <c r="UAO47" s="319"/>
      <c r="UAP47" s="319"/>
      <c r="UAQ47" s="319"/>
      <c r="UAR47" s="319"/>
      <c r="UAS47" s="319"/>
      <c r="UAT47" s="319"/>
      <c r="UAU47" s="319"/>
      <c r="UAV47" s="319"/>
      <c r="UAW47" s="319"/>
      <c r="UAX47" s="319"/>
      <c r="UAY47" s="319"/>
      <c r="UAZ47" s="319"/>
      <c r="UBA47" s="319"/>
      <c r="UBB47" s="319"/>
      <c r="UBC47" s="319"/>
      <c r="UBD47" s="319"/>
      <c r="UBE47" s="319"/>
      <c r="UBF47" s="319"/>
      <c r="UBG47" s="319"/>
      <c r="UBH47" s="319"/>
      <c r="UBI47" s="319"/>
      <c r="UBJ47" s="319"/>
      <c r="UBK47" s="319"/>
      <c r="UBL47" s="319"/>
      <c r="UBM47" s="319"/>
      <c r="UBN47" s="319"/>
      <c r="UBO47" s="319"/>
      <c r="UBP47" s="319"/>
      <c r="UBQ47" s="319"/>
      <c r="UBR47" s="319"/>
      <c r="UBS47" s="319"/>
      <c r="UBT47" s="319"/>
      <c r="UBU47" s="319"/>
      <c r="UBV47" s="319"/>
      <c r="UBW47" s="319"/>
      <c r="UBX47" s="319"/>
      <c r="UBY47" s="319"/>
      <c r="UBZ47" s="319"/>
      <c r="UCA47" s="319"/>
      <c r="UCB47" s="319"/>
      <c r="UCC47" s="319"/>
      <c r="UCD47" s="319"/>
      <c r="UCE47" s="319"/>
      <c r="UCF47" s="319"/>
      <c r="UCG47" s="319"/>
      <c r="UCH47" s="319"/>
      <c r="UCI47" s="319"/>
      <c r="UCJ47" s="319"/>
      <c r="UCK47" s="319"/>
      <c r="UCL47" s="319"/>
      <c r="UCM47" s="319"/>
      <c r="UCN47" s="319"/>
      <c r="UCO47" s="319"/>
      <c r="UCP47" s="319"/>
      <c r="UCQ47" s="319"/>
      <c r="UCR47" s="319"/>
      <c r="UCS47" s="319"/>
      <c r="UCT47" s="319"/>
      <c r="UCU47" s="319"/>
      <c r="UCV47" s="319"/>
      <c r="UCW47" s="319"/>
      <c r="UCX47" s="319"/>
      <c r="UCY47" s="319"/>
      <c r="UCZ47" s="319"/>
      <c r="UDA47" s="319"/>
      <c r="UDB47" s="319"/>
      <c r="UDC47" s="319"/>
      <c r="UDD47" s="319"/>
      <c r="UDE47" s="319"/>
      <c r="UDF47" s="319"/>
      <c r="UDG47" s="319"/>
      <c r="UDH47" s="319"/>
      <c r="UDI47" s="319"/>
      <c r="UDJ47" s="319"/>
      <c r="UDK47" s="319"/>
      <c r="UDL47" s="319"/>
      <c r="UDM47" s="319"/>
      <c r="UDN47" s="319"/>
      <c r="UDO47" s="319"/>
      <c r="UDP47" s="319"/>
      <c r="UDQ47" s="319"/>
      <c r="UDR47" s="319"/>
      <c r="UDS47" s="319"/>
      <c r="UDT47" s="319"/>
      <c r="UDU47" s="319"/>
      <c r="UDV47" s="319"/>
      <c r="UDW47" s="319"/>
      <c r="UDX47" s="319"/>
      <c r="UDY47" s="319"/>
      <c r="UDZ47" s="319"/>
      <c r="UEA47" s="319"/>
      <c r="UEB47" s="319"/>
      <c r="UEC47" s="319"/>
      <c r="UED47" s="319"/>
      <c r="UEE47" s="319"/>
      <c r="UEF47" s="319"/>
      <c r="UEG47" s="319"/>
      <c r="UEH47" s="319"/>
      <c r="UEI47" s="319"/>
      <c r="UEJ47" s="319"/>
      <c r="UEK47" s="319"/>
      <c r="UEL47" s="319"/>
      <c r="UEM47" s="319"/>
      <c r="UEN47" s="319"/>
      <c r="UEO47" s="319"/>
      <c r="UEP47" s="319"/>
      <c r="UEQ47" s="319"/>
      <c r="UER47" s="319"/>
      <c r="UES47" s="319"/>
      <c r="UET47" s="319"/>
      <c r="UEU47" s="319"/>
      <c r="UEV47" s="319"/>
      <c r="UEW47" s="319"/>
      <c r="UEX47" s="319"/>
      <c r="UEY47" s="319"/>
      <c r="UEZ47" s="319"/>
      <c r="UFA47" s="319"/>
      <c r="UFB47" s="319"/>
      <c r="UFC47" s="319"/>
      <c r="UFD47" s="319"/>
      <c r="UFE47" s="319"/>
      <c r="UFF47" s="319"/>
      <c r="UFG47" s="319"/>
      <c r="UFH47" s="319"/>
      <c r="UFI47" s="319"/>
      <c r="UFJ47" s="319"/>
      <c r="UFK47" s="319"/>
      <c r="UFL47" s="319"/>
      <c r="UFM47" s="319"/>
      <c r="UFN47" s="319"/>
      <c r="UFO47" s="319"/>
      <c r="UFP47" s="319"/>
      <c r="UFQ47" s="319"/>
      <c r="UFR47" s="319"/>
      <c r="UFS47" s="319"/>
      <c r="UFT47" s="319"/>
      <c r="UFU47" s="319"/>
      <c r="UFV47" s="319"/>
      <c r="UFW47" s="319"/>
      <c r="UFX47" s="319"/>
      <c r="UFY47" s="319"/>
      <c r="UFZ47" s="319"/>
      <c r="UGA47" s="319"/>
      <c r="UGB47" s="319"/>
      <c r="UGC47" s="319"/>
      <c r="UGD47" s="319"/>
      <c r="UGE47" s="319"/>
      <c r="UGF47" s="319"/>
      <c r="UGG47" s="319"/>
      <c r="UGH47" s="319"/>
      <c r="UGI47" s="319"/>
      <c r="UGJ47" s="319"/>
      <c r="UGK47" s="319"/>
      <c r="UGL47" s="319"/>
      <c r="UGM47" s="319"/>
      <c r="UGN47" s="319"/>
      <c r="UGO47" s="319"/>
      <c r="UGP47" s="319"/>
      <c r="UGQ47" s="319"/>
      <c r="UGR47" s="319"/>
      <c r="UGS47" s="319"/>
      <c r="UGT47" s="319"/>
      <c r="UGU47" s="319"/>
      <c r="UGV47" s="319"/>
      <c r="UGW47" s="319"/>
      <c r="UGX47" s="319"/>
      <c r="UGY47" s="319"/>
      <c r="UGZ47" s="319"/>
      <c r="UHA47" s="319"/>
      <c r="UHB47" s="319"/>
      <c r="UHC47" s="319"/>
      <c r="UHD47" s="319"/>
      <c r="UHE47" s="319"/>
      <c r="UHF47" s="319"/>
      <c r="UHG47" s="319"/>
      <c r="UHH47" s="319"/>
      <c r="UHI47" s="319"/>
      <c r="UHJ47" s="319"/>
      <c r="UHK47" s="319"/>
      <c r="UHL47" s="319"/>
      <c r="UHM47" s="319"/>
      <c r="UHN47" s="319"/>
      <c r="UHO47" s="319"/>
      <c r="UHP47" s="319"/>
      <c r="UHQ47" s="319"/>
      <c r="UHR47" s="319"/>
      <c r="UHS47" s="319"/>
      <c r="UHT47" s="319"/>
      <c r="UHU47" s="319"/>
      <c r="UHV47" s="319"/>
      <c r="UHW47" s="319"/>
      <c r="UHX47" s="319"/>
      <c r="UHY47" s="319"/>
      <c r="UHZ47" s="319"/>
      <c r="UIA47" s="319"/>
      <c r="UIB47" s="319"/>
      <c r="UIC47" s="319"/>
      <c r="UID47" s="319"/>
      <c r="UIE47" s="319"/>
      <c r="UIF47" s="319"/>
      <c r="UIG47" s="319"/>
      <c r="UIH47" s="319"/>
      <c r="UII47" s="319"/>
      <c r="UIJ47" s="319"/>
      <c r="UIK47" s="319"/>
      <c r="UIL47" s="319"/>
      <c r="UIM47" s="319"/>
      <c r="UIN47" s="319"/>
      <c r="UIO47" s="319"/>
      <c r="UIP47" s="319"/>
      <c r="UIQ47" s="319"/>
      <c r="UIR47" s="319"/>
      <c r="UIS47" s="319"/>
      <c r="UIT47" s="319"/>
      <c r="UIU47" s="319"/>
      <c r="UIV47" s="319"/>
      <c r="UIW47" s="319"/>
      <c r="UIX47" s="319"/>
      <c r="UIY47" s="319"/>
      <c r="UIZ47" s="319"/>
      <c r="UJA47" s="319"/>
      <c r="UJB47" s="319"/>
      <c r="UJC47" s="319"/>
      <c r="UJD47" s="319"/>
      <c r="UJE47" s="319"/>
      <c r="UJF47" s="319"/>
      <c r="UJG47" s="319"/>
      <c r="UJH47" s="319"/>
      <c r="UJI47" s="319"/>
      <c r="UJJ47" s="319"/>
      <c r="UJK47" s="319"/>
      <c r="UJL47" s="319"/>
      <c r="UJM47" s="319"/>
      <c r="UJN47" s="319"/>
      <c r="UJO47" s="319"/>
      <c r="UJP47" s="319"/>
      <c r="UJQ47" s="319"/>
      <c r="UJR47" s="319"/>
      <c r="UJS47" s="319"/>
      <c r="UJT47" s="319"/>
      <c r="UJU47" s="319"/>
      <c r="UJV47" s="319"/>
      <c r="UJW47" s="319"/>
      <c r="UJX47" s="319"/>
      <c r="UJY47" s="319"/>
      <c r="UJZ47" s="319"/>
      <c r="UKA47" s="319"/>
      <c r="UKB47" s="319"/>
      <c r="UKC47" s="319"/>
      <c r="UKD47" s="319"/>
      <c r="UKE47" s="319"/>
      <c r="UKF47" s="319"/>
      <c r="UKG47" s="319"/>
      <c r="UKH47" s="319"/>
      <c r="UKI47" s="319"/>
      <c r="UKJ47" s="319"/>
      <c r="UKK47" s="319"/>
      <c r="UKL47" s="319"/>
      <c r="UKM47" s="319"/>
      <c r="UKN47" s="319"/>
      <c r="UKO47" s="319"/>
      <c r="UKP47" s="319"/>
      <c r="UKQ47" s="319"/>
      <c r="UKR47" s="319"/>
      <c r="UKS47" s="319"/>
      <c r="UKT47" s="319"/>
      <c r="UKU47" s="319"/>
      <c r="UKV47" s="319"/>
      <c r="UKW47" s="319"/>
      <c r="UKX47" s="319"/>
      <c r="UKY47" s="319"/>
      <c r="UKZ47" s="319"/>
      <c r="ULA47" s="319"/>
      <c r="ULB47" s="319"/>
      <c r="ULC47" s="319"/>
      <c r="ULD47" s="319"/>
      <c r="ULE47" s="319"/>
      <c r="ULF47" s="319"/>
      <c r="ULG47" s="319"/>
      <c r="ULH47" s="319"/>
      <c r="ULI47" s="319"/>
      <c r="ULJ47" s="319"/>
      <c r="ULK47" s="319"/>
      <c r="ULL47" s="319"/>
      <c r="ULM47" s="319"/>
      <c r="ULN47" s="319"/>
      <c r="ULO47" s="319"/>
      <c r="ULP47" s="319"/>
      <c r="ULQ47" s="319"/>
      <c r="ULR47" s="319"/>
      <c r="ULS47" s="319"/>
      <c r="ULT47" s="319"/>
      <c r="ULU47" s="319"/>
      <c r="ULV47" s="319"/>
      <c r="ULW47" s="319"/>
      <c r="ULX47" s="319"/>
      <c r="ULY47" s="319"/>
      <c r="ULZ47" s="319"/>
      <c r="UMA47" s="319"/>
      <c r="UMB47" s="319"/>
      <c r="UMC47" s="319"/>
      <c r="UMD47" s="319"/>
      <c r="UME47" s="319"/>
      <c r="UMF47" s="319"/>
      <c r="UMG47" s="319"/>
      <c r="UMH47" s="319"/>
      <c r="UMI47" s="319"/>
      <c r="UMJ47" s="319"/>
      <c r="UMK47" s="319"/>
      <c r="UML47" s="319"/>
      <c r="UMM47" s="319"/>
      <c r="UMN47" s="319"/>
      <c r="UMO47" s="319"/>
      <c r="UMP47" s="319"/>
      <c r="UMQ47" s="319"/>
      <c r="UMR47" s="319"/>
      <c r="UMS47" s="319"/>
      <c r="UMT47" s="319"/>
      <c r="UMU47" s="319"/>
      <c r="UMV47" s="319"/>
      <c r="UMW47" s="319"/>
      <c r="UMX47" s="319"/>
      <c r="UMY47" s="319"/>
      <c r="UMZ47" s="319"/>
      <c r="UNA47" s="319"/>
      <c r="UNB47" s="319"/>
      <c r="UNC47" s="319"/>
      <c r="UND47" s="319"/>
      <c r="UNE47" s="319"/>
      <c r="UNF47" s="319"/>
      <c r="UNG47" s="319"/>
      <c r="UNH47" s="319"/>
      <c r="UNI47" s="319"/>
      <c r="UNJ47" s="319"/>
      <c r="UNK47" s="319"/>
      <c r="UNL47" s="319"/>
      <c r="UNM47" s="319"/>
      <c r="UNN47" s="319"/>
      <c r="UNO47" s="319"/>
      <c r="UNP47" s="319"/>
      <c r="UNQ47" s="319"/>
      <c r="UNR47" s="319"/>
      <c r="UNS47" s="319"/>
      <c r="UNT47" s="319"/>
      <c r="UNU47" s="319"/>
      <c r="UNV47" s="319"/>
      <c r="UNW47" s="319"/>
      <c r="UNX47" s="319"/>
      <c r="UNY47" s="319"/>
      <c r="UNZ47" s="319"/>
      <c r="UOA47" s="319"/>
      <c r="UOB47" s="319"/>
      <c r="UOC47" s="319"/>
      <c r="UOD47" s="319"/>
      <c r="UOE47" s="319"/>
      <c r="UOF47" s="319"/>
      <c r="UOG47" s="319"/>
      <c r="UOH47" s="319"/>
      <c r="UOI47" s="319"/>
      <c r="UOJ47" s="319"/>
      <c r="UOK47" s="319"/>
      <c r="UOL47" s="319"/>
      <c r="UOM47" s="319"/>
      <c r="UON47" s="319"/>
      <c r="UOO47" s="319"/>
      <c r="UOP47" s="319"/>
      <c r="UOQ47" s="319"/>
      <c r="UOR47" s="319"/>
      <c r="UOS47" s="319"/>
      <c r="UOT47" s="319"/>
      <c r="UOU47" s="319"/>
      <c r="UOV47" s="319"/>
      <c r="UOW47" s="319"/>
      <c r="UOX47" s="319"/>
      <c r="UOY47" s="319"/>
      <c r="UOZ47" s="319"/>
      <c r="UPA47" s="319"/>
      <c r="UPB47" s="319"/>
      <c r="UPC47" s="319"/>
      <c r="UPD47" s="319"/>
      <c r="UPE47" s="319"/>
      <c r="UPF47" s="319"/>
      <c r="UPG47" s="319"/>
      <c r="UPH47" s="319"/>
      <c r="UPI47" s="319"/>
      <c r="UPJ47" s="319"/>
      <c r="UPK47" s="319"/>
      <c r="UPL47" s="319"/>
      <c r="UPM47" s="319"/>
      <c r="UPN47" s="319"/>
      <c r="UPO47" s="319"/>
      <c r="UPP47" s="319"/>
      <c r="UPQ47" s="319"/>
      <c r="UPR47" s="319"/>
      <c r="UPS47" s="319"/>
      <c r="UPT47" s="319"/>
      <c r="UPU47" s="319"/>
      <c r="UPV47" s="319"/>
      <c r="UPW47" s="319"/>
      <c r="UPX47" s="319"/>
      <c r="UPY47" s="319"/>
      <c r="UPZ47" s="319"/>
      <c r="UQA47" s="319"/>
      <c r="UQB47" s="319"/>
      <c r="UQC47" s="319"/>
      <c r="UQD47" s="319"/>
      <c r="UQE47" s="319"/>
      <c r="UQF47" s="319"/>
      <c r="UQG47" s="319"/>
      <c r="UQH47" s="319"/>
      <c r="UQI47" s="319"/>
      <c r="UQJ47" s="319"/>
      <c r="UQK47" s="319"/>
      <c r="UQL47" s="319"/>
      <c r="UQM47" s="319"/>
      <c r="UQN47" s="319"/>
      <c r="UQO47" s="319"/>
      <c r="UQP47" s="319"/>
      <c r="UQQ47" s="319"/>
      <c r="UQR47" s="319"/>
      <c r="UQS47" s="319"/>
      <c r="UQT47" s="319"/>
      <c r="UQU47" s="319"/>
      <c r="UQV47" s="319"/>
      <c r="UQW47" s="319"/>
      <c r="UQX47" s="319"/>
      <c r="UQY47" s="319"/>
      <c r="UQZ47" s="319"/>
      <c r="URA47" s="319"/>
      <c r="URB47" s="319"/>
      <c r="URC47" s="319"/>
      <c r="URD47" s="319"/>
      <c r="URE47" s="319"/>
      <c r="URF47" s="319"/>
      <c r="URG47" s="319"/>
      <c r="URH47" s="319"/>
      <c r="URI47" s="319"/>
      <c r="URJ47" s="319"/>
      <c r="URK47" s="319"/>
      <c r="URL47" s="319"/>
      <c r="URM47" s="319"/>
      <c r="URN47" s="319"/>
      <c r="URO47" s="319"/>
      <c r="URP47" s="319"/>
      <c r="URQ47" s="319"/>
      <c r="URR47" s="319"/>
      <c r="URS47" s="319"/>
      <c r="URT47" s="319"/>
      <c r="URU47" s="319"/>
      <c r="URV47" s="319"/>
      <c r="URW47" s="319"/>
      <c r="URX47" s="319"/>
      <c r="URY47" s="319"/>
      <c r="URZ47" s="319"/>
      <c r="USA47" s="319"/>
      <c r="USB47" s="319"/>
      <c r="USC47" s="319"/>
      <c r="USD47" s="319"/>
      <c r="USE47" s="319"/>
      <c r="USF47" s="319"/>
      <c r="USG47" s="319"/>
      <c r="USH47" s="319"/>
      <c r="USI47" s="319"/>
      <c r="USJ47" s="319"/>
      <c r="USK47" s="319"/>
      <c r="USL47" s="319"/>
      <c r="USM47" s="319"/>
      <c r="USN47" s="319"/>
      <c r="USO47" s="319"/>
      <c r="USP47" s="319"/>
      <c r="USQ47" s="319"/>
      <c r="USR47" s="319"/>
      <c r="USS47" s="319"/>
      <c r="UST47" s="319"/>
      <c r="USU47" s="319"/>
      <c r="USV47" s="319"/>
      <c r="USW47" s="319"/>
      <c r="USX47" s="319"/>
      <c r="USY47" s="319"/>
      <c r="USZ47" s="319"/>
      <c r="UTA47" s="319"/>
      <c r="UTB47" s="319"/>
      <c r="UTC47" s="319"/>
      <c r="UTD47" s="319"/>
      <c r="UTE47" s="319"/>
      <c r="UTF47" s="319"/>
      <c r="UTG47" s="319"/>
      <c r="UTH47" s="319"/>
      <c r="UTI47" s="319"/>
      <c r="UTJ47" s="319"/>
      <c r="UTK47" s="319"/>
      <c r="UTL47" s="319"/>
      <c r="UTM47" s="319"/>
      <c r="UTN47" s="319"/>
      <c r="UTO47" s="319"/>
      <c r="UTP47" s="319"/>
      <c r="UTQ47" s="319"/>
      <c r="UTR47" s="319"/>
      <c r="UTS47" s="319"/>
      <c r="UTT47" s="319"/>
      <c r="UTU47" s="319"/>
      <c r="UTV47" s="319"/>
      <c r="UTW47" s="319"/>
      <c r="UTX47" s="319"/>
      <c r="UTY47" s="319"/>
      <c r="UTZ47" s="319"/>
      <c r="UUA47" s="319"/>
      <c r="UUB47" s="319"/>
      <c r="UUC47" s="319"/>
      <c r="UUD47" s="319"/>
      <c r="UUE47" s="319"/>
      <c r="UUF47" s="319"/>
      <c r="UUG47" s="319"/>
      <c r="UUH47" s="319"/>
      <c r="UUI47" s="319"/>
      <c r="UUJ47" s="319"/>
      <c r="UUK47" s="319"/>
      <c r="UUL47" s="319"/>
      <c r="UUM47" s="319"/>
      <c r="UUN47" s="319"/>
      <c r="UUO47" s="319"/>
      <c r="UUP47" s="319"/>
      <c r="UUQ47" s="319"/>
      <c r="UUR47" s="319"/>
      <c r="UUS47" s="319"/>
      <c r="UUT47" s="319"/>
      <c r="UUU47" s="319"/>
      <c r="UUV47" s="319"/>
      <c r="UUW47" s="319"/>
      <c r="UUX47" s="319"/>
      <c r="UUY47" s="319"/>
      <c r="UUZ47" s="319"/>
      <c r="UVA47" s="319"/>
      <c r="UVB47" s="319"/>
      <c r="UVC47" s="319"/>
      <c r="UVD47" s="319"/>
      <c r="UVE47" s="319"/>
      <c r="UVF47" s="319"/>
      <c r="UVG47" s="319"/>
      <c r="UVH47" s="319"/>
      <c r="UVI47" s="319"/>
      <c r="UVJ47" s="319"/>
      <c r="UVK47" s="319"/>
      <c r="UVL47" s="319"/>
      <c r="UVM47" s="319"/>
      <c r="UVN47" s="319"/>
      <c r="UVO47" s="319"/>
      <c r="UVP47" s="319"/>
      <c r="UVQ47" s="319"/>
      <c r="UVR47" s="319"/>
      <c r="UVS47" s="319"/>
      <c r="UVT47" s="319"/>
      <c r="UVU47" s="319"/>
      <c r="UVV47" s="319"/>
      <c r="UVW47" s="319"/>
      <c r="UVX47" s="319"/>
      <c r="UVY47" s="319"/>
      <c r="UVZ47" s="319"/>
      <c r="UWA47" s="319"/>
      <c r="UWB47" s="319"/>
      <c r="UWC47" s="319"/>
      <c r="UWD47" s="319"/>
      <c r="UWE47" s="319"/>
      <c r="UWF47" s="319"/>
      <c r="UWG47" s="319"/>
      <c r="UWH47" s="319"/>
      <c r="UWI47" s="319"/>
      <c r="UWJ47" s="319"/>
      <c r="UWK47" s="319"/>
      <c r="UWL47" s="319"/>
      <c r="UWM47" s="319"/>
      <c r="UWN47" s="319"/>
      <c r="UWO47" s="319"/>
      <c r="UWP47" s="319"/>
      <c r="UWQ47" s="319"/>
      <c r="UWR47" s="319"/>
      <c r="UWS47" s="319"/>
      <c r="UWT47" s="319"/>
      <c r="UWU47" s="319"/>
      <c r="UWV47" s="319"/>
      <c r="UWW47" s="319"/>
      <c r="UWX47" s="319"/>
      <c r="UWY47" s="319"/>
      <c r="UWZ47" s="319"/>
      <c r="UXA47" s="319"/>
      <c r="UXB47" s="319"/>
      <c r="UXC47" s="319"/>
      <c r="UXD47" s="319"/>
      <c r="UXE47" s="319"/>
      <c r="UXF47" s="319"/>
      <c r="UXG47" s="319"/>
      <c r="UXH47" s="319"/>
      <c r="UXI47" s="319"/>
      <c r="UXJ47" s="319"/>
      <c r="UXK47" s="319"/>
      <c r="UXL47" s="319"/>
      <c r="UXM47" s="319"/>
      <c r="UXN47" s="319"/>
      <c r="UXO47" s="319"/>
      <c r="UXP47" s="319"/>
      <c r="UXQ47" s="319"/>
      <c r="UXR47" s="319"/>
      <c r="UXS47" s="319"/>
      <c r="UXT47" s="319"/>
      <c r="UXU47" s="319"/>
      <c r="UXV47" s="319"/>
      <c r="UXW47" s="319"/>
      <c r="UXX47" s="319"/>
      <c r="UXY47" s="319"/>
      <c r="UXZ47" s="319"/>
      <c r="UYA47" s="319"/>
      <c r="UYB47" s="319"/>
      <c r="UYC47" s="319"/>
      <c r="UYD47" s="319"/>
      <c r="UYE47" s="319"/>
      <c r="UYF47" s="319"/>
      <c r="UYG47" s="319"/>
      <c r="UYH47" s="319"/>
      <c r="UYI47" s="319"/>
      <c r="UYJ47" s="319"/>
      <c r="UYK47" s="319"/>
      <c r="UYL47" s="319"/>
      <c r="UYM47" s="319"/>
      <c r="UYN47" s="319"/>
      <c r="UYO47" s="319"/>
      <c r="UYP47" s="319"/>
      <c r="UYQ47" s="319"/>
      <c r="UYR47" s="319"/>
      <c r="UYS47" s="319"/>
      <c r="UYT47" s="319"/>
      <c r="UYU47" s="319"/>
      <c r="UYV47" s="319"/>
      <c r="UYW47" s="319"/>
      <c r="UYX47" s="319"/>
      <c r="UYY47" s="319"/>
      <c r="UYZ47" s="319"/>
      <c r="UZA47" s="319"/>
      <c r="UZB47" s="319"/>
      <c r="UZC47" s="319"/>
      <c r="UZD47" s="319"/>
      <c r="UZE47" s="319"/>
      <c r="UZF47" s="319"/>
      <c r="UZG47" s="319"/>
      <c r="UZH47" s="319"/>
      <c r="UZI47" s="319"/>
      <c r="UZJ47" s="319"/>
      <c r="UZK47" s="319"/>
      <c r="UZL47" s="319"/>
      <c r="UZM47" s="319"/>
      <c r="UZN47" s="319"/>
      <c r="UZO47" s="319"/>
      <c r="UZP47" s="319"/>
      <c r="UZQ47" s="319"/>
      <c r="UZR47" s="319"/>
      <c r="UZS47" s="319"/>
      <c r="UZT47" s="319"/>
      <c r="UZU47" s="319"/>
      <c r="UZV47" s="319"/>
      <c r="UZW47" s="319"/>
      <c r="UZX47" s="319"/>
      <c r="UZY47" s="319"/>
      <c r="UZZ47" s="319"/>
      <c r="VAA47" s="319"/>
      <c r="VAB47" s="319"/>
      <c r="VAC47" s="319"/>
      <c r="VAD47" s="319"/>
      <c r="VAE47" s="319"/>
      <c r="VAF47" s="319"/>
      <c r="VAG47" s="319"/>
      <c r="VAH47" s="319"/>
      <c r="VAI47" s="319"/>
      <c r="VAJ47" s="319"/>
      <c r="VAK47" s="319"/>
      <c r="VAL47" s="319"/>
      <c r="VAM47" s="319"/>
      <c r="VAN47" s="319"/>
      <c r="VAO47" s="319"/>
      <c r="VAP47" s="319"/>
      <c r="VAQ47" s="319"/>
      <c r="VAR47" s="319"/>
      <c r="VAS47" s="319"/>
      <c r="VAT47" s="319"/>
      <c r="VAU47" s="319"/>
      <c r="VAV47" s="319"/>
      <c r="VAW47" s="319"/>
      <c r="VAX47" s="319"/>
      <c r="VAY47" s="319"/>
      <c r="VAZ47" s="319"/>
      <c r="VBA47" s="319"/>
      <c r="VBB47" s="319"/>
      <c r="VBC47" s="319"/>
      <c r="VBD47" s="319"/>
      <c r="VBE47" s="319"/>
      <c r="VBF47" s="319"/>
      <c r="VBG47" s="319"/>
      <c r="VBH47" s="319"/>
      <c r="VBI47" s="319"/>
      <c r="VBJ47" s="319"/>
      <c r="VBK47" s="319"/>
      <c r="VBL47" s="319"/>
      <c r="VBM47" s="319"/>
      <c r="VBN47" s="319"/>
      <c r="VBO47" s="319"/>
      <c r="VBP47" s="319"/>
      <c r="VBQ47" s="319"/>
      <c r="VBR47" s="319"/>
      <c r="VBS47" s="319"/>
      <c r="VBT47" s="319"/>
      <c r="VBU47" s="319"/>
      <c r="VBV47" s="319"/>
      <c r="VBW47" s="319"/>
      <c r="VBX47" s="319"/>
      <c r="VBY47" s="319"/>
      <c r="VBZ47" s="319"/>
      <c r="VCA47" s="319"/>
      <c r="VCB47" s="319"/>
      <c r="VCC47" s="319"/>
      <c r="VCD47" s="319"/>
      <c r="VCE47" s="319"/>
      <c r="VCF47" s="319"/>
      <c r="VCG47" s="319"/>
      <c r="VCH47" s="319"/>
      <c r="VCI47" s="319"/>
      <c r="VCJ47" s="319"/>
      <c r="VCK47" s="319"/>
      <c r="VCL47" s="319"/>
      <c r="VCM47" s="319"/>
      <c r="VCN47" s="319"/>
      <c r="VCO47" s="319"/>
      <c r="VCP47" s="319"/>
      <c r="VCQ47" s="319"/>
      <c r="VCR47" s="319"/>
      <c r="VCS47" s="319"/>
      <c r="VCT47" s="319"/>
      <c r="VCU47" s="319"/>
      <c r="VCV47" s="319"/>
      <c r="VCW47" s="319"/>
      <c r="VCX47" s="319"/>
      <c r="VCY47" s="319"/>
      <c r="VCZ47" s="319"/>
      <c r="VDA47" s="319"/>
      <c r="VDB47" s="319"/>
      <c r="VDC47" s="319"/>
      <c r="VDD47" s="319"/>
      <c r="VDE47" s="319"/>
      <c r="VDF47" s="319"/>
      <c r="VDG47" s="319"/>
      <c r="VDH47" s="319"/>
      <c r="VDI47" s="319"/>
      <c r="VDJ47" s="319"/>
      <c r="VDK47" s="319"/>
      <c r="VDL47" s="319"/>
      <c r="VDM47" s="319"/>
      <c r="VDN47" s="319"/>
      <c r="VDO47" s="319"/>
      <c r="VDP47" s="319"/>
      <c r="VDQ47" s="319"/>
      <c r="VDR47" s="319"/>
      <c r="VDS47" s="319"/>
      <c r="VDT47" s="319"/>
      <c r="VDU47" s="319"/>
      <c r="VDV47" s="319"/>
      <c r="VDW47" s="319"/>
      <c r="VDX47" s="319"/>
      <c r="VDY47" s="319"/>
      <c r="VDZ47" s="319"/>
      <c r="VEA47" s="319"/>
      <c r="VEB47" s="319"/>
      <c r="VEC47" s="319"/>
      <c r="VED47" s="319"/>
      <c r="VEE47" s="319"/>
      <c r="VEF47" s="319"/>
      <c r="VEG47" s="319"/>
      <c r="VEH47" s="319"/>
      <c r="VEI47" s="319"/>
      <c r="VEJ47" s="319"/>
      <c r="VEK47" s="319"/>
      <c r="VEL47" s="319"/>
      <c r="VEM47" s="319"/>
      <c r="VEN47" s="319"/>
      <c r="VEO47" s="319"/>
      <c r="VEP47" s="319"/>
      <c r="VEQ47" s="319"/>
      <c r="VER47" s="319"/>
      <c r="VES47" s="319"/>
      <c r="VET47" s="319"/>
      <c r="VEU47" s="319"/>
      <c r="VEV47" s="319"/>
      <c r="VEW47" s="319"/>
      <c r="VEX47" s="319"/>
      <c r="VEY47" s="319"/>
      <c r="VEZ47" s="319"/>
      <c r="VFA47" s="319"/>
      <c r="VFB47" s="319"/>
      <c r="VFC47" s="319"/>
      <c r="VFD47" s="319"/>
      <c r="VFE47" s="319"/>
      <c r="VFF47" s="319"/>
      <c r="VFG47" s="319"/>
      <c r="VFH47" s="319"/>
      <c r="VFI47" s="319"/>
      <c r="VFJ47" s="319"/>
      <c r="VFK47" s="319"/>
      <c r="VFL47" s="319"/>
      <c r="VFM47" s="319"/>
      <c r="VFN47" s="319"/>
      <c r="VFO47" s="319"/>
      <c r="VFP47" s="319"/>
      <c r="VFQ47" s="319"/>
      <c r="VFR47" s="319"/>
      <c r="VFS47" s="319"/>
      <c r="VFT47" s="319"/>
      <c r="VFU47" s="319"/>
      <c r="VFV47" s="319"/>
      <c r="VFW47" s="319"/>
      <c r="VFX47" s="319"/>
      <c r="VFY47" s="319"/>
      <c r="VFZ47" s="319"/>
      <c r="VGA47" s="319"/>
      <c r="VGB47" s="319"/>
      <c r="VGC47" s="319"/>
      <c r="VGD47" s="319"/>
      <c r="VGE47" s="319"/>
      <c r="VGF47" s="319"/>
      <c r="VGG47" s="319"/>
      <c r="VGH47" s="319"/>
      <c r="VGI47" s="319"/>
      <c r="VGJ47" s="319"/>
      <c r="VGK47" s="319"/>
      <c r="VGL47" s="319"/>
      <c r="VGM47" s="319"/>
      <c r="VGN47" s="319"/>
      <c r="VGO47" s="319"/>
      <c r="VGP47" s="319"/>
      <c r="VGQ47" s="319"/>
      <c r="VGR47" s="319"/>
      <c r="VGS47" s="319"/>
      <c r="VGT47" s="319"/>
      <c r="VGU47" s="319"/>
      <c r="VGV47" s="319"/>
      <c r="VGW47" s="319"/>
      <c r="VGX47" s="319"/>
      <c r="VGY47" s="319"/>
      <c r="VGZ47" s="319"/>
      <c r="VHA47" s="319"/>
      <c r="VHB47" s="319"/>
      <c r="VHC47" s="319"/>
      <c r="VHD47" s="319"/>
      <c r="VHE47" s="319"/>
      <c r="VHF47" s="319"/>
      <c r="VHG47" s="319"/>
      <c r="VHH47" s="319"/>
      <c r="VHI47" s="319"/>
      <c r="VHJ47" s="319"/>
      <c r="VHK47" s="319"/>
      <c r="VHL47" s="319"/>
      <c r="VHM47" s="319"/>
      <c r="VHN47" s="319"/>
      <c r="VHO47" s="319"/>
      <c r="VHP47" s="319"/>
      <c r="VHQ47" s="319"/>
      <c r="VHR47" s="319"/>
      <c r="VHS47" s="319"/>
      <c r="VHT47" s="319"/>
      <c r="VHU47" s="319"/>
      <c r="VHV47" s="319"/>
      <c r="VHW47" s="319"/>
      <c r="VHX47" s="319"/>
      <c r="VHY47" s="319"/>
      <c r="VHZ47" s="319"/>
      <c r="VIA47" s="319"/>
      <c r="VIB47" s="319"/>
      <c r="VIC47" s="319"/>
      <c r="VID47" s="319"/>
      <c r="VIE47" s="319"/>
      <c r="VIF47" s="319"/>
      <c r="VIG47" s="319"/>
      <c r="VIH47" s="319"/>
      <c r="VII47" s="319"/>
      <c r="VIJ47" s="319"/>
      <c r="VIK47" s="319"/>
      <c r="VIL47" s="319"/>
      <c r="VIM47" s="319"/>
      <c r="VIN47" s="319"/>
      <c r="VIO47" s="319"/>
      <c r="VIP47" s="319"/>
      <c r="VIQ47" s="319"/>
      <c r="VIR47" s="319"/>
      <c r="VIS47" s="319"/>
      <c r="VIT47" s="319"/>
      <c r="VIU47" s="319"/>
      <c r="VIV47" s="319"/>
      <c r="VIW47" s="319"/>
      <c r="VIX47" s="319"/>
      <c r="VIY47" s="319"/>
      <c r="VIZ47" s="319"/>
      <c r="VJA47" s="319"/>
      <c r="VJB47" s="319"/>
      <c r="VJC47" s="319"/>
      <c r="VJD47" s="319"/>
      <c r="VJE47" s="319"/>
      <c r="VJF47" s="319"/>
      <c r="VJG47" s="319"/>
      <c r="VJH47" s="319"/>
      <c r="VJI47" s="319"/>
      <c r="VJJ47" s="319"/>
      <c r="VJK47" s="319"/>
      <c r="VJL47" s="319"/>
      <c r="VJM47" s="319"/>
      <c r="VJN47" s="319"/>
      <c r="VJO47" s="319"/>
      <c r="VJP47" s="319"/>
      <c r="VJQ47" s="319"/>
      <c r="VJR47" s="319"/>
      <c r="VJS47" s="319"/>
      <c r="VJT47" s="319"/>
      <c r="VJU47" s="319"/>
      <c r="VJV47" s="319"/>
      <c r="VJW47" s="319"/>
      <c r="VJX47" s="319"/>
      <c r="VJY47" s="319"/>
      <c r="VJZ47" s="319"/>
      <c r="VKA47" s="319"/>
      <c r="VKB47" s="319"/>
      <c r="VKC47" s="319"/>
      <c r="VKD47" s="319"/>
      <c r="VKE47" s="319"/>
      <c r="VKF47" s="319"/>
      <c r="VKG47" s="319"/>
      <c r="VKH47" s="319"/>
      <c r="VKI47" s="319"/>
      <c r="VKJ47" s="319"/>
      <c r="VKK47" s="319"/>
      <c r="VKL47" s="319"/>
      <c r="VKM47" s="319"/>
      <c r="VKN47" s="319"/>
      <c r="VKO47" s="319"/>
      <c r="VKP47" s="319"/>
      <c r="VKQ47" s="319"/>
      <c r="VKR47" s="319"/>
      <c r="VKS47" s="319"/>
      <c r="VKT47" s="319"/>
      <c r="VKU47" s="319"/>
      <c r="VKV47" s="319"/>
      <c r="VKW47" s="319"/>
      <c r="VKX47" s="319"/>
      <c r="VKY47" s="319"/>
      <c r="VKZ47" s="319"/>
      <c r="VLA47" s="319"/>
      <c r="VLB47" s="319"/>
      <c r="VLC47" s="319"/>
      <c r="VLD47" s="319"/>
      <c r="VLE47" s="319"/>
      <c r="VLF47" s="319"/>
      <c r="VLG47" s="319"/>
      <c r="VLH47" s="319"/>
      <c r="VLI47" s="319"/>
      <c r="VLJ47" s="319"/>
      <c r="VLK47" s="319"/>
      <c r="VLL47" s="319"/>
      <c r="VLM47" s="319"/>
      <c r="VLN47" s="319"/>
      <c r="VLO47" s="319"/>
      <c r="VLP47" s="319"/>
      <c r="VLQ47" s="319"/>
      <c r="VLR47" s="319"/>
      <c r="VLS47" s="319"/>
      <c r="VLT47" s="319"/>
      <c r="VLU47" s="319"/>
      <c r="VLV47" s="319"/>
      <c r="VLW47" s="319"/>
      <c r="VLX47" s="319"/>
      <c r="VLY47" s="319"/>
      <c r="VLZ47" s="319"/>
      <c r="VMA47" s="319"/>
      <c r="VMB47" s="319"/>
      <c r="VMC47" s="319"/>
      <c r="VMD47" s="319"/>
      <c r="VME47" s="319"/>
      <c r="VMF47" s="319"/>
      <c r="VMG47" s="319"/>
      <c r="VMH47" s="319"/>
      <c r="VMI47" s="319"/>
      <c r="VMJ47" s="319"/>
      <c r="VMK47" s="319"/>
      <c r="VML47" s="319"/>
      <c r="VMM47" s="319"/>
      <c r="VMN47" s="319"/>
      <c r="VMO47" s="319"/>
      <c r="VMP47" s="319"/>
      <c r="VMQ47" s="319"/>
      <c r="VMR47" s="319"/>
      <c r="VMS47" s="319"/>
      <c r="VMT47" s="319"/>
      <c r="VMU47" s="319"/>
      <c r="VMV47" s="319"/>
      <c r="VMW47" s="319"/>
      <c r="VMX47" s="319"/>
      <c r="VMY47" s="319"/>
      <c r="VMZ47" s="319"/>
      <c r="VNA47" s="319"/>
      <c r="VNB47" s="319"/>
      <c r="VNC47" s="319"/>
      <c r="VND47" s="319"/>
      <c r="VNE47" s="319"/>
      <c r="VNF47" s="319"/>
      <c r="VNG47" s="319"/>
      <c r="VNH47" s="319"/>
      <c r="VNI47" s="319"/>
      <c r="VNJ47" s="319"/>
      <c r="VNK47" s="319"/>
      <c r="VNL47" s="319"/>
      <c r="VNM47" s="319"/>
      <c r="VNN47" s="319"/>
      <c r="VNO47" s="319"/>
      <c r="VNP47" s="319"/>
      <c r="VNQ47" s="319"/>
      <c r="VNR47" s="319"/>
      <c r="VNS47" s="319"/>
      <c r="VNT47" s="319"/>
      <c r="VNU47" s="319"/>
      <c r="VNV47" s="319"/>
      <c r="VNW47" s="319"/>
      <c r="VNX47" s="319"/>
      <c r="VNY47" s="319"/>
      <c r="VNZ47" s="319"/>
      <c r="VOA47" s="319"/>
      <c r="VOB47" s="319"/>
      <c r="VOC47" s="319"/>
      <c r="VOD47" s="319"/>
      <c r="VOE47" s="319"/>
      <c r="VOF47" s="319"/>
      <c r="VOG47" s="319"/>
      <c r="VOH47" s="319"/>
      <c r="VOI47" s="319"/>
      <c r="VOJ47" s="319"/>
      <c r="VOK47" s="319"/>
      <c r="VOL47" s="319"/>
      <c r="VOM47" s="319"/>
      <c r="VON47" s="319"/>
      <c r="VOO47" s="319"/>
      <c r="VOP47" s="319"/>
      <c r="VOQ47" s="319"/>
      <c r="VOR47" s="319"/>
      <c r="VOS47" s="319"/>
      <c r="VOT47" s="319"/>
      <c r="VOU47" s="319"/>
      <c r="VOV47" s="319"/>
      <c r="VOW47" s="319"/>
      <c r="VOX47" s="319"/>
      <c r="VOY47" s="319"/>
      <c r="VOZ47" s="319"/>
      <c r="VPA47" s="319"/>
      <c r="VPB47" s="319"/>
      <c r="VPC47" s="319"/>
      <c r="VPD47" s="319"/>
      <c r="VPE47" s="319"/>
      <c r="VPF47" s="319"/>
      <c r="VPG47" s="319"/>
      <c r="VPH47" s="319"/>
      <c r="VPI47" s="319"/>
      <c r="VPJ47" s="319"/>
      <c r="VPK47" s="319"/>
      <c r="VPL47" s="319"/>
      <c r="VPM47" s="319"/>
      <c r="VPN47" s="319"/>
      <c r="VPO47" s="319"/>
      <c r="VPP47" s="319"/>
      <c r="VPQ47" s="319"/>
      <c r="VPR47" s="319"/>
      <c r="VPS47" s="319"/>
      <c r="VPT47" s="319"/>
      <c r="VPU47" s="319"/>
      <c r="VPV47" s="319"/>
      <c r="VPW47" s="319"/>
      <c r="VPX47" s="319"/>
      <c r="VPY47" s="319"/>
      <c r="VPZ47" s="319"/>
      <c r="VQA47" s="319"/>
      <c r="VQB47" s="319"/>
      <c r="VQC47" s="319"/>
      <c r="VQD47" s="319"/>
      <c r="VQE47" s="319"/>
      <c r="VQF47" s="319"/>
      <c r="VQG47" s="319"/>
      <c r="VQH47" s="319"/>
      <c r="VQI47" s="319"/>
      <c r="VQJ47" s="319"/>
      <c r="VQK47" s="319"/>
      <c r="VQL47" s="319"/>
      <c r="VQM47" s="319"/>
      <c r="VQN47" s="319"/>
      <c r="VQO47" s="319"/>
      <c r="VQP47" s="319"/>
      <c r="VQQ47" s="319"/>
      <c r="VQR47" s="319"/>
      <c r="VQS47" s="319"/>
      <c r="VQT47" s="319"/>
      <c r="VQU47" s="319"/>
      <c r="VQV47" s="319"/>
      <c r="VQW47" s="319"/>
      <c r="VQX47" s="319"/>
      <c r="VQY47" s="319"/>
      <c r="VQZ47" s="319"/>
      <c r="VRA47" s="319"/>
      <c r="VRB47" s="319"/>
      <c r="VRC47" s="319"/>
      <c r="VRD47" s="319"/>
      <c r="VRE47" s="319"/>
      <c r="VRF47" s="319"/>
      <c r="VRG47" s="319"/>
      <c r="VRH47" s="319"/>
      <c r="VRI47" s="319"/>
      <c r="VRJ47" s="319"/>
      <c r="VRK47" s="319"/>
      <c r="VRL47" s="319"/>
      <c r="VRM47" s="319"/>
      <c r="VRN47" s="319"/>
      <c r="VRO47" s="319"/>
      <c r="VRP47" s="319"/>
      <c r="VRQ47" s="319"/>
      <c r="VRR47" s="319"/>
      <c r="VRS47" s="319"/>
      <c r="VRT47" s="319"/>
      <c r="VRU47" s="319"/>
      <c r="VRV47" s="319"/>
      <c r="VRW47" s="319"/>
      <c r="VRX47" s="319"/>
      <c r="VRY47" s="319"/>
      <c r="VRZ47" s="319"/>
      <c r="VSA47" s="319"/>
      <c r="VSB47" s="319"/>
      <c r="VSC47" s="319"/>
      <c r="VSD47" s="319"/>
      <c r="VSE47" s="319"/>
      <c r="VSF47" s="319"/>
      <c r="VSG47" s="319"/>
      <c r="VSH47" s="319"/>
      <c r="VSI47" s="319"/>
      <c r="VSJ47" s="319"/>
      <c r="VSK47" s="319"/>
      <c r="VSL47" s="319"/>
      <c r="VSM47" s="319"/>
      <c r="VSN47" s="319"/>
      <c r="VSO47" s="319"/>
      <c r="VSP47" s="319"/>
      <c r="VSQ47" s="319"/>
      <c r="VSR47" s="319"/>
      <c r="VSS47" s="319"/>
      <c r="VST47" s="319"/>
      <c r="VSU47" s="319"/>
      <c r="VSV47" s="319"/>
      <c r="VSW47" s="319"/>
      <c r="VSX47" s="319"/>
      <c r="VSY47" s="319"/>
      <c r="VSZ47" s="319"/>
      <c r="VTA47" s="319"/>
      <c r="VTB47" s="319"/>
      <c r="VTC47" s="319"/>
      <c r="VTD47" s="319"/>
      <c r="VTE47" s="319"/>
      <c r="VTF47" s="319"/>
      <c r="VTG47" s="319"/>
      <c r="VTH47" s="319"/>
      <c r="VTI47" s="319"/>
      <c r="VTJ47" s="319"/>
      <c r="VTK47" s="319"/>
      <c r="VTL47" s="319"/>
      <c r="VTM47" s="319"/>
      <c r="VTN47" s="319"/>
      <c r="VTO47" s="319"/>
      <c r="VTP47" s="319"/>
      <c r="VTQ47" s="319"/>
      <c r="VTR47" s="319"/>
      <c r="VTS47" s="319"/>
      <c r="VTT47" s="319"/>
      <c r="VTU47" s="319"/>
      <c r="VTV47" s="319"/>
      <c r="VTW47" s="319"/>
      <c r="VTX47" s="319"/>
      <c r="VTY47" s="319"/>
      <c r="VTZ47" s="319"/>
      <c r="VUA47" s="319"/>
      <c r="VUB47" s="319"/>
      <c r="VUC47" s="319"/>
      <c r="VUD47" s="319"/>
      <c r="VUE47" s="319"/>
      <c r="VUF47" s="319"/>
      <c r="VUG47" s="319"/>
      <c r="VUH47" s="319"/>
      <c r="VUI47" s="319"/>
      <c r="VUJ47" s="319"/>
      <c r="VUK47" s="319"/>
      <c r="VUL47" s="319"/>
      <c r="VUM47" s="319"/>
      <c r="VUN47" s="319"/>
      <c r="VUO47" s="319"/>
      <c r="VUP47" s="319"/>
      <c r="VUQ47" s="319"/>
      <c r="VUR47" s="319"/>
      <c r="VUS47" s="319"/>
      <c r="VUT47" s="319"/>
      <c r="VUU47" s="319"/>
      <c r="VUV47" s="319"/>
      <c r="VUW47" s="319"/>
      <c r="VUX47" s="319"/>
      <c r="VUY47" s="319"/>
      <c r="VUZ47" s="319"/>
      <c r="VVA47" s="319"/>
      <c r="VVB47" s="319"/>
      <c r="VVC47" s="319"/>
      <c r="VVD47" s="319"/>
      <c r="VVE47" s="319"/>
      <c r="VVF47" s="319"/>
      <c r="VVG47" s="319"/>
      <c r="VVH47" s="319"/>
      <c r="VVI47" s="319"/>
      <c r="VVJ47" s="319"/>
      <c r="VVK47" s="319"/>
      <c r="VVL47" s="319"/>
      <c r="VVM47" s="319"/>
      <c r="VVN47" s="319"/>
      <c r="VVO47" s="319"/>
      <c r="VVP47" s="319"/>
      <c r="VVQ47" s="319"/>
      <c r="VVR47" s="319"/>
      <c r="VVS47" s="319"/>
      <c r="VVT47" s="319"/>
      <c r="VVU47" s="319"/>
      <c r="VVV47" s="319"/>
      <c r="VVW47" s="319"/>
      <c r="VVX47" s="319"/>
      <c r="VVY47" s="319"/>
      <c r="VVZ47" s="319"/>
      <c r="VWA47" s="319"/>
      <c r="VWB47" s="319"/>
      <c r="VWC47" s="319"/>
      <c r="VWD47" s="319"/>
      <c r="VWE47" s="319"/>
      <c r="VWF47" s="319"/>
      <c r="VWG47" s="319"/>
      <c r="VWH47" s="319"/>
      <c r="VWI47" s="319"/>
      <c r="VWJ47" s="319"/>
      <c r="VWK47" s="319"/>
      <c r="VWL47" s="319"/>
      <c r="VWM47" s="319"/>
      <c r="VWN47" s="319"/>
      <c r="VWO47" s="319"/>
      <c r="VWP47" s="319"/>
      <c r="VWQ47" s="319"/>
      <c r="VWR47" s="319"/>
      <c r="VWS47" s="319"/>
      <c r="VWT47" s="319"/>
      <c r="VWU47" s="319"/>
      <c r="VWV47" s="319"/>
      <c r="VWW47" s="319"/>
      <c r="VWX47" s="319"/>
      <c r="VWY47" s="319"/>
      <c r="VWZ47" s="319"/>
      <c r="VXA47" s="319"/>
      <c r="VXB47" s="319"/>
      <c r="VXC47" s="319"/>
      <c r="VXD47" s="319"/>
      <c r="VXE47" s="319"/>
      <c r="VXF47" s="319"/>
      <c r="VXG47" s="319"/>
      <c r="VXH47" s="319"/>
      <c r="VXI47" s="319"/>
      <c r="VXJ47" s="319"/>
      <c r="VXK47" s="319"/>
      <c r="VXL47" s="319"/>
      <c r="VXM47" s="319"/>
      <c r="VXN47" s="319"/>
      <c r="VXO47" s="319"/>
      <c r="VXP47" s="319"/>
      <c r="VXQ47" s="319"/>
      <c r="VXR47" s="319"/>
      <c r="VXS47" s="319"/>
      <c r="VXT47" s="319"/>
      <c r="VXU47" s="319"/>
      <c r="VXV47" s="319"/>
      <c r="VXW47" s="319"/>
      <c r="VXX47" s="319"/>
      <c r="VXY47" s="319"/>
      <c r="VXZ47" s="319"/>
      <c r="VYA47" s="319"/>
      <c r="VYB47" s="319"/>
      <c r="VYC47" s="319"/>
      <c r="VYD47" s="319"/>
      <c r="VYE47" s="319"/>
      <c r="VYF47" s="319"/>
      <c r="VYG47" s="319"/>
      <c r="VYH47" s="319"/>
      <c r="VYI47" s="319"/>
      <c r="VYJ47" s="319"/>
      <c r="VYK47" s="319"/>
      <c r="VYL47" s="319"/>
      <c r="VYM47" s="319"/>
      <c r="VYN47" s="319"/>
      <c r="VYO47" s="319"/>
      <c r="VYP47" s="319"/>
      <c r="VYQ47" s="319"/>
      <c r="VYR47" s="319"/>
      <c r="VYS47" s="319"/>
      <c r="VYT47" s="319"/>
      <c r="VYU47" s="319"/>
      <c r="VYV47" s="319"/>
      <c r="VYW47" s="319"/>
      <c r="VYX47" s="319"/>
      <c r="VYY47" s="319"/>
      <c r="VYZ47" s="319"/>
      <c r="VZA47" s="319"/>
      <c r="VZB47" s="319"/>
      <c r="VZC47" s="319"/>
      <c r="VZD47" s="319"/>
      <c r="VZE47" s="319"/>
      <c r="VZF47" s="319"/>
      <c r="VZG47" s="319"/>
      <c r="VZH47" s="319"/>
      <c r="VZI47" s="319"/>
      <c r="VZJ47" s="319"/>
      <c r="VZK47" s="319"/>
      <c r="VZL47" s="319"/>
      <c r="VZM47" s="319"/>
      <c r="VZN47" s="319"/>
      <c r="VZO47" s="319"/>
      <c r="VZP47" s="319"/>
      <c r="VZQ47" s="319"/>
      <c r="VZR47" s="319"/>
      <c r="VZS47" s="319"/>
      <c r="VZT47" s="319"/>
      <c r="VZU47" s="319"/>
      <c r="VZV47" s="319"/>
      <c r="VZW47" s="319"/>
      <c r="VZX47" s="319"/>
      <c r="VZY47" s="319"/>
      <c r="VZZ47" s="319"/>
      <c r="WAA47" s="319"/>
      <c r="WAB47" s="319"/>
      <c r="WAC47" s="319"/>
      <c r="WAD47" s="319"/>
      <c r="WAE47" s="319"/>
      <c r="WAF47" s="319"/>
      <c r="WAG47" s="319"/>
      <c r="WAH47" s="319"/>
      <c r="WAI47" s="319"/>
      <c r="WAJ47" s="319"/>
      <c r="WAK47" s="319"/>
      <c r="WAL47" s="319"/>
      <c r="WAM47" s="319"/>
      <c r="WAN47" s="319"/>
      <c r="WAO47" s="319"/>
      <c r="WAP47" s="319"/>
      <c r="WAQ47" s="319"/>
      <c r="WAR47" s="319"/>
      <c r="WAS47" s="319"/>
      <c r="WAT47" s="319"/>
      <c r="WAU47" s="319"/>
      <c r="WAV47" s="319"/>
      <c r="WAW47" s="319"/>
      <c r="WAX47" s="319"/>
      <c r="WAY47" s="319"/>
      <c r="WAZ47" s="319"/>
      <c r="WBA47" s="319"/>
      <c r="WBB47" s="319"/>
      <c r="WBC47" s="319"/>
      <c r="WBD47" s="319"/>
      <c r="WBE47" s="319"/>
      <c r="WBF47" s="319"/>
      <c r="WBG47" s="319"/>
      <c r="WBH47" s="319"/>
      <c r="WBI47" s="319"/>
      <c r="WBJ47" s="319"/>
      <c r="WBK47" s="319"/>
      <c r="WBL47" s="319"/>
      <c r="WBM47" s="319"/>
      <c r="WBN47" s="319"/>
      <c r="WBO47" s="319"/>
      <c r="WBP47" s="319"/>
      <c r="WBQ47" s="319"/>
      <c r="WBR47" s="319"/>
      <c r="WBS47" s="319"/>
      <c r="WBT47" s="319"/>
      <c r="WBU47" s="319"/>
      <c r="WBV47" s="319"/>
      <c r="WBW47" s="319"/>
      <c r="WBX47" s="319"/>
      <c r="WBY47" s="319"/>
      <c r="WBZ47" s="319"/>
      <c r="WCA47" s="319"/>
      <c r="WCB47" s="319"/>
      <c r="WCC47" s="319"/>
      <c r="WCD47" s="319"/>
      <c r="WCE47" s="319"/>
      <c r="WCF47" s="319"/>
      <c r="WCG47" s="319"/>
      <c r="WCH47" s="319"/>
      <c r="WCI47" s="319"/>
      <c r="WCJ47" s="319"/>
      <c r="WCK47" s="319"/>
      <c r="WCL47" s="319"/>
      <c r="WCM47" s="319"/>
      <c r="WCN47" s="319"/>
      <c r="WCO47" s="319"/>
      <c r="WCP47" s="319"/>
      <c r="WCQ47" s="319"/>
      <c r="WCR47" s="319"/>
      <c r="WCS47" s="319"/>
      <c r="WCT47" s="319"/>
      <c r="WCU47" s="319"/>
      <c r="WCV47" s="319"/>
      <c r="WCW47" s="319"/>
      <c r="WCX47" s="319"/>
      <c r="WCY47" s="319"/>
      <c r="WCZ47" s="319"/>
      <c r="WDA47" s="319"/>
      <c r="WDB47" s="319"/>
      <c r="WDC47" s="319"/>
      <c r="WDD47" s="319"/>
      <c r="WDE47" s="319"/>
      <c r="WDF47" s="319"/>
      <c r="WDG47" s="319"/>
      <c r="WDH47" s="319"/>
      <c r="WDI47" s="319"/>
      <c r="WDJ47" s="319"/>
      <c r="WDK47" s="319"/>
      <c r="WDL47" s="319"/>
      <c r="WDM47" s="319"/>
      <c r="WDN47" s="319"/>
      <c r="WDO47" s="319"/>
      <c r="WDP47" s="319"/>
      <c r="WDQ47" s="319"/>
      <c r="WDR47" s="319"/>
      <c r="WDS47" s="319"/>
      <c r="WDT47" s="319"/>
      <c r="WDU47" s="319"/>
      <c r="WDV47" s="319"/>
      <c r="WDW47" s="319"/>
      <c r="WDX47" s="319"/>
      <c r="WDY47" s="319"/>
      <c r="WDZ47" s="319"/>
      <c r="WEA47" s="319"/>
      <c r="WEB47" s="319"/>
      <c r="WEC47" s="319"/>
      <c r="WED47" s="319"/>
      <c r="WEE47" s="319"/>
      <c r="WEF47" s="319"/>
      <c r="WEG47" s="319"/>
      <c r="WEH47" s="319"/>
      <c r="WEI47" s="319"/>
      <c r="WEJ47" s="319"/>
      <c r="WEK47" s="319"/>
      <c r="WEL47" s="319"/>
      <c r="WEM47" s="319"/>
      <c r="WEN47" s="319"/>
      <c r="WEO47" s="319"/>
      <c r="WEP47" s="319"/>
      <c r="WEQ47" s="319"/>
      <c r="WER47" s="319"/>
      <c r="WES47" s="319"/>
      <c r="WET47" s="319"/>
      <c r="WEU47" s="319"/>
      <c r="WEV47" s="319"/>
      <c r="WEW47" s="319"/>
      <c r="WEX47" s="319"/>
      <c r="WEY47" s="319"/>
      <c r="WEZ47" s="319"/>
      <c r="WFA47" s="319"/>
      <c r="WFB47" s="319"/>
      <c r="WFC47" s="319"/>
      <c r="WFD47" s="319"/>
      <c r="WFE47" s="319"/>
      <c r="WFF47" s="319"/>
      <c r="WFG47" s="319"/>
      <c r="WFH47" s="319"/>
      <c r="WFI47" s="319"/>
      <c r="WFJ47" s="319"/>
      <c r="WFK47" s="319"/>
      <c r="WFL47" s="319"/>
      <c r="WFM47" s="319"/>
      <c r="WFN47" s="319"/>
      <c r="WFO47" s="319"/>
      <c r="WFP47" s="319"/>
      <c r="WFQ47" s="319"/>
      <c r="WFR47" s="319"/>
      <c r="WFS47" s="319"/>
      <c r="WFT47" s="319"/>
      <c r="WFU47" s="319"/>
      <c r="WFV47" s="319"/>
      <c r="WFW47" s="319"/>
      <c r="WFX47" s="319"/>
      <c r="WFY47" s="319"/>
      <c r="WFZ47" s="319"/>
      <c r="WGA47" s="319"/>
      <c r="WGB47" s="319"/>
      <c r="WGC47" s="319"/>
      <c r="WGD47" s="319"/>
      <c r="WGE47" s="319"/>
      <c r="WGF47" s="319"/>
      <c r="WGG47" s="319"/>
      <c r="WGH47" s="319"/>
      <c r="WGI47" s="319"/>
      <c r="WGJ47" s="319"/>
      <c r="WGK47" s="319"/>
      <c r="WGL47" s="319"/>
      <c r="WGM47" s="319"/>
      <c r="WGN47" s="319"/>
      <c r="WGO47" s="319"/>
      <c r="WGP47" s="319"/>
      <c r="WGQ47" s="319"/>
      <c r="WGR47" s="319"/>
      <c r="WGS47" s="319"/>
      <c r="WGT47" s="319"/>
      <c r="WGU47" s="319"/>
      <c r="WGV47" s="319"/>
      <c r="WGW47" s="319"/>
      <c r="WGX47" s="319"/>
      <c r="WGY47" s="319"/>
      <c r="WGZ47" s="319"/>
      <c r="WHA47" s="319"/>
      <c r="WHB47" s="319"/>
      <c r="WHC47" s="319"/>
      <c r="WHD47" s="319"/>
      <c r="WHE47" s="319"/>
      <c r="WHF47" s="319"/>
      <c r="WHG47" s="319"/>
      <c r="WHH47" s="319"/>
      <c r="WHI47" s="319"/>
      <c r="WHJ47" s="319"/>
      <c r="WHK47" s="319"/>
      <c r="WHL47" s="319"/>
      <c r="WHM47" s="319"/>
      <c r="WHN47" s="319"/>
      <c r="WHO47" s="319"/>
      <c r="WHP47" s="319"/>
      <c r="WHQ47" s="319"/>
      <c r="WHR47" s="319"/>
      <c r="WHS47" s="319"/>
      <c r="WHT47" s="319"/>
      <c r="WHU47" s="319"/>
      <c r="WHV47" s="319"/>
      <c r="WHW47" s="319"/>
      <c r="WHX47" s="319"/>
      <c r="WHY47" s="319"/>
      <c r="WHZ47" s="319"/>
      <c r="WIA47" s="319"/>
      <c r="WIB47" s="319"/>
      <c r="WIC47" s="319"/>
      <c r="WID47" s="319"/>
      <c r="WIE47" s="319"/>
      <c r="WIF47" s="319"/>
      <c r="WIG47" s="319"/>
      <c r="WIH47" s="319"/>
      <c r="WII47" s="319"/>
      <c r="WIJ47" s="319"/>
      <c r="WIK47" s="319"/>
      <c r="WIL47" s="319"/>
      <c r="WIM47" s="319"/>
      <c r="WIN47" s="319"/>
      <c r="WIO47" s="319"/>
      <c r="WIP47" s="319"/>
      <c r="WIQ47" s="319"/>
      <c r="WIR47" s="319"/>
      <c r="WIS47" s="319"/>
      <c r="WIT47" s="319"/>
      <c r="WIU47" s="319"/>
      <c r="WIV47" s="319"/>
      <c r="WIW47" s="319"/>
      <c r="WIX47" s="319"/>
      <c r="WIY47" s="319"/>
      <c r="WIZ47" s="319"/>
      <c r="WJA47" s="319"/>
      <c r="WJB47" s="319"/>
      <c r="WJC47" s="319"/>
      <c r="WJD47" s="319"/>
      <c r="WJE47" s="319"/>
      <c r="WJF47" s="319"/>
      <c r="WJG47" s="319"/>
      <c r="WJH47" s="319"/>
      <c r="WJI47" s="319"/>
      <c r="WJJ47" s="319"/>
      <c r="WJK47" s="319"/>
      <c r="WJL47" s="319"/>
      <c r="WJM47" s="319"/>
      <c r="WJN47" s="319"/>
      <c r="WJO47" s="319"/>
      <c r="WJP47" s="319"/>
      <c r="WJQ47" s="319"/>
      <c r="WJR47" s="319"/>
      <c r="WJS47" s="319"/>
      <c r="WJT47" s="319"/>
      <c r="WJU47" s="319"/>
      <c r="WJV47" s="319"/>
      <c r="WJW47" s="319"/>
      <c r="WJX47" s="319"/>
      <c r="WJY47" s="319"/>
      <c r="WJZ47" s="319"/>
      <c r="WKA47" s="319"/>
      <c r="WKB47" s="319"/>
      <c r="WKC47" s="319"/>
      <c r="WKD47" s="319"/>
      <c r="WKE47" s="319"/>
      <c r="WKF47" s="319"/>
      <c r="WKG47" s="319"/>
      <c r="WKH47" s="319"/>
      <c r="WKI47" s="319"/>
      <c r="WKJ47" s="319"/>
      <c r="WKK47" s="319"/>
      <c r="WKL47" s="319"/>
      <c r="WKM47" s="319"/>
      <c r="WKN47" s="319"/>
      <c r="WKO47" s="319"/>
      <c r="WKP47" s="319"/>
      <c r="WKQ47" s="319"/>
      <c r="WKR47" s="319"/>
      <c r="WKS47" s="319"/>
      <c r="WKT47" s="319"/>
      <c r="WKU47" s="319"/>
      <c r="WKV47" s="319"/>
      <c r="WKW47" s="319"/>
      <c r="WKX47" s="319"/>
      <c r="WKY47" s="319"/>
      <c r="WKZ47" s="319"/>
      <c r="WLA47" s="319"/>
      <c r="WLB47" s="319"/>
      <c r="WLC47" s="319"/>
      <c r="WLD47" s="319"/>
      <c r="WLE47" s="319"/>
      <c r="WLF47" s="319"/>
      <c r="WLG47" s="319"/>
      <c r="WLH47" s="319"/>
      <c r="WLI47" s="319"/>
      <c r="WLJ47" s="319"/>
      <c r="WLK47" s="319"/>
      <c r="WLL47" s="319"/>
      <c r="WLM47" s="319"/>
      <c r="WLN47" s="319"/>
      <c r="WLO47" s="319"/>
      <c r="WLP47" s="319"/>
      <c r="WLQ47" s="319"/>
      <c r="WLR47" s="319"/>
      <c r="WLS47" s="319"/>
      <c r="WLT47" s="319"/>
      <c r="WLU47" s="319"/>
      <c r="WLV47" s="319"/>
      <c r="WLW47" s="319"/>
      <c r="WLX47" s="319"/>
      <c r="WLY47" s="319"/>
      <c r="WLZ47" s="319"/>
      <c r="WMA47" s="319"/>
      <c r="WMB47" s="319"/>
      <c r="WMC47" s="319"/>
      <c r="WMD47" s="319"/>
      <c r="WME47" s="319"/>
      <c r="WMF47" s="319"/>
      <c r="WMG47" s="319"/>
      <c r="WMH47" s="319"/>
      <c r="WMI47" s="319"/>
      <c r="WMJ47" s="319"/>
      <c r="WMK47" s="319"/>
      <c r="WML47" s="319"/>
      <c r="WMM47" s="319"/>
      <c r="WMN47" s="319"/>
      <c r="WMO47" s="319"/>
      <c r="WMP47" s="319"/>
      <c r="WMQ47" s="319"/>
      <c r="WMR47" s="319"/>
      <c r="WMS47" s="319"/>
      <c r="WMT47" s="319"/>
      <c r="WMU47" s="319"/>
      <c r="WMV47" s="319"/>
      <c r="WMW47" s="319"/>
      <c r="WMX47" s="319"/>
      <c r="WMY47" s="319"/>
      <c r="WMZ47" s="319"/>
      <c r="WNA47" s="319"/>
      <c r="WNB47" s="319"/>
      <c r="WNC47" s="319"/>
      <c r="WND47" s="319"/>
      <c r="WNE47" s="319"/>
      <c r="WNF47" s="319"/>
      <c r="WNG47" s="319"/>
      <c r="WNH47" s="319"/>
      <c r="WNI47" s="319"/>
      <c r="WNJ47" s="319"/>
      <c r="WNK47" s="319"/>
      <c r="WNL47" s="319"/>
      <c r="WNM47" s="319"/>
      <c r="WNN47" s="319"/>
      <c r="WNO47" s="319"/>
      <c r="WNP47" s="319"/>
      <c r="WNQ47" s="319"/>
      <c r="WNR47" s="319"/>
      <c r="WNS47" s="319"/>
      <c r="WNT47" s="319"/>
      <c r="WNU47" s="319"/>
      <c r="WNV47" s="319"/>
      <c r="WNW47" s="319"/>
      <c r="WNX47" s="319"/>
      <c r="WNY47" s="319"/>
      <c r="WNZ47" s="319"/>
      <c r="WOA47" s="319"/>
      <c r="WOB47" s="319"/>
      <c r="WOC47" s="319"/>
      <c r="WOD47" s="319"/>
      <c r="WOE47" s="319"/>
      <c r="WOF47" s="319"/>
      <c r="WOG47" s="319"/>
      <c r="WOH47" s="319"/>
      <c r="WOI47" s="319"/>
      <c r="WOJ47" s="319"/>
      <c r="WOK47" s="319"/>
      <c r="WOL47" s="319"/>
      <c r="WOM47" s="319"/>
      <c r="WON47" s="319"/>
      <c r="WOO47" s="319"/>
      <c r="WOP47" s="319"/>
      <c r="WOQ47" s="319"/>
      <c r="WOR47" s="319"/>
      <c r="WOS47" s="319"/>
      <c r="WOT47" s="319"/>
      <c r="WOU47" s="319"/>
      <c r="WOV47" s="319"/>
      <c r="WOW47" s="319"/>
      <c r="WOX47" s="319"/>
      <c r="WOY47" s="319"/>
      <c r="WOZ47" s="319"/>
      <c r="WPA47" s="319"/>
      <c r="WPB47" s="319"/>
      <c r="WPC47" s="319"/>
      <c r="WPD47" s="319"/>
      <c r="WPE47" s="319"/>
      <c r="WPF47" s="319"/>
      <c r="WPG47" s="319"/>
      <c r="WPH47" s="319"/>
      <c r="WPI47" s="319"/>
      <c r="WPJ47" s="319"/>
      <c r="WPK47" s="319"/>
      <c r="WPL47" s="319"/>
      <c r="WPM47" s="319"/>
      <c r="WPN47" s="319"/>
      <c r="WPO47" s="319"/>
      <c r="WPP47" s="319"/>
      <c r="WPQ47" s="319"/>
      <c r="WPR47" s="319"/>
      <c r="WPS47" s="319"/>
      <c r="WPT47" s="319"/>
      <c r="WPU47" s="319"/>
      <c r="WPV47" s="319"/>
      <c r="WPW47" s="319"/>
      <c r="WPX47" s="319"/>
      <c r="WPY47" s="319"/>
      <c r="WPZ47" s="319"/>
      <c r="WQA47" s="319"/>
      <c r="WQB47" s="319"/>
      <c r="WQC47" s="319"/>
      <c r="WQD47" s="319"/>
      <c r="WQE47" s="319"/>
      <c r="WQF47" s="319"/>
      <c r="WQG47" s="319"/>
      <c r="WQH47" s="319"/>
      <c r="WQI47" s="319"/>
      <c r="WQJ47" s="319"/>
      <c r="WQK47" s="319"/>
      <c r="WQL47" s="319"/>
      <c r="WQM47" s="319"/>
      <c r="WQN47" s="319"/>
      <c r="WQO47" s="319"/>
      <c r="WQP47" s="319"/>
      <c r="WQQ47" s="319"/>
      <c r="WQR47" s="319"/>
      <c r="WQS47" s="319"/>
      <c r="WQT47" s="319"/>
      <c r="WQU47" s="319"/>
      <c r="WQV47" s="319"/>
      <c r="WQW47" s="319"/>
      <c r="WQX47" s="319"/>
      <c r="WQY47" s="319"/>
      <c r="WQZ47" s="319"/>
      <c r="WRA47" s="319"/>
      <c r="WRB47" s="319"/>
      <c r="WRC47" s="319"/>
      <c r="WRD47" s="319"/>
      <c r="WRE47" s="319"/>
      <c r="WRF47" s="319"/>
      <c r="WRG47" s="319"/>
      <c r="WRH47" s="319"/>
      <c r="WRI47" s="319"/>
      <c r="WRJ47" s="319"/>
      <c r="WRK47" s="319"/>
      <c r="WRL47" s="319"/>
      <c r="WRM47" s="319"/>
      <c r="WRN47" s="319"/>
      <c r="WRO47" s="319"/>
      <c r="WRP47" s="319"/>
      <c r="WRQ47" s="319"/>
      <c r="WRR47" s="319"/>
      <c r="WRS47" s="319"/>
      <c r="WRT47" s="319"/>
      <c r="WRU47" s="319"/>
      <c r="WRV47" s="319"/>
      <c r="WRW47" s="319"/>
      <c r="WRX47" s="319"/>
      <c r="WRY47" s="319"/>
      <c r="WRZ47" s="319"/>
      <c r="WSA47" s="319"/>
      <c r="WSB47" s="319"/>
      <c r="WSC47" s="319"/>
      <c r="WSD47" s="319"/>
      <c r="WSE47" s="319"/>
      <c r="WSF47" s="319"/>
      <c r="WSG47" s="319"/>
      <c r="WSH47" s="319"/>
      <c r="WSI47" s="319"/>
      <c r="WSJ47" s="319"/>
      <c r="WSK47" s="319"/>
      <c r="WSL47" s="319"/>
      <c r="WSM47" s="319"/>
      <c r="WSN47" s="319"/>
      <c r="WSO47" s="319"/>
      <c r="WSP47" s="319"/>
      <c r="WSQ47" s="319"/>
      <c r="WSR47" s="319"/>
      <c r="WSS47" s="319"/>
      <c r="WST47" s="319"/>
      <c r="WSU47" s="319"/>
      <c r="WSV47" s="319"/>
      <c r="WSW47" s="319"/>
      <c r="WSX47" s="319"/>
      <c r="WSY47" s="319"/>
      <c r="WSZ47" s="319"/>
      <c r="WTA47" s="319"/>
      <c r="WTB47" s="319"/>
      <c r="WTC47" s="319"/>
      <c r="WTD47" s="319"/>
      <c r="WTE47" s="319"/>
      <c r="WTF47" s="319"/>
      <c r="WTG47" s="319"/>
      <c r="WTH47" s="319"/>
      <c r="WTI47" s="319"/>
      <c r="WTJ47" s="319"/>
      <c r="WTK47" s="319"/>
      <c r="WTL47" s="319"/>
      <c r="WTM47" s="319"/>
      <c r="WTN47" s="319"/>
      <c r="WTO47" s="319"/>
      <c r="WTP47" s="319"/>
      <c r="WTQ47" s="319"/>
      <c r="WTR47" s="319"/>
      <c r="WTS47" s="319"/>
      <c r="WTT47" s="319"/>
      <c r="WTU47" s="319"/>
      <c r="WTV47" s="319"/>
      <c r="WTW47" s="319"/>
      <c r="WTX47" s="319"/>
      <c r="WTY47" s="319"/>
      <c r="WTZ47" s="319"/>
      <c r="WUA47" s="319"/>
      <c r="WUB47" s="319"/>
      <c r="WUC47" s="319"/>
      <c r="WUD47" s="319"/>
      <c r="WUE47" s="319"/>
      <c r="WUF47" s="319"/>
      <c r="WUG47" s="319"/>
      <c r="WUH47" s="319"/>
      <c r="WUI47" s="319"/>
      <c r="WUJ47" s="319"/>
      <c r="WUK47" s="319"/>
      <c r="WUL47" s="319"/>
      <c r="WUM47" s="319"/>
      <c r="WUN47" s="319"/>
      <c r="WUO47" s="319"/>
      <c r="WUP47" s="319"/>
      <c r="WUQ47" s="319"/>
      <c r="WUR47" s="319"/>
      <c r="WUS47" s="319"/>
      <c r="WUT47" s="319"/>
      <c r="WUU47" s="319"/>
      <c r="WUV47" s="319"/>
      <c r="WUW47" s="319"/>
      <c r="WUX47" s="319"/>
      <c r="WUY47" s="319"/>
      <c r="WUZ47" s="319"/>
      <c r="WVA47" s="319"/>
      <c r="WVB47" s="319"/>
      <c r="WVC47" s="319"/>
      <c r="WVD47" s="319"/>
      <c r="WVE47" s="319"/>
      <c r="WVF47" s="319"/>
      <c r="WVG47" s="319"/>
      <c r="WVH47" s="319"/>
      <c r="WVI47" s="319"/>
      <c r="WVJ47" s="319"/>
      <c r="WVK47" s="319"/>
      <c r="WVL47" s="319"/>
      <c r="WVM47" s="319"/>
      <c r="WVN47" s="319"/>
      <c r="WVO47" s="319"/>
      <c r="WVP47" s="319"/>
      <c r="WVQ47" s="319"/>
      <c r="WVR47" s="319"/>
      <c r="WVS47" s="319"/>
      <c r="WVT47" s="319"/>
      <c r="WVU47" s="319"/>
      <c r="WVV47" s="319"/>
      <c r="WVW47" s="319"/>
      <c r="WVX47" s="319"/>
      <c r="WVY47" s="319"/>
      <c r="WVZ47" s="319"/>
      <c r="WWA47" s="319"/>
      <c r="WWB47" s="319"/>
      <c r="WWC47" s="319"/>
      <c r="WWD47" s="319"/>
      <c r="WWE47" s="319"/>
      <c r="WWF47" s="319"/>
      <c r="WWG47" s="319"/>
      <c r="WWH47" s="319"/>
      <c r="WWI47" s="319"/>
      <c r="WWJ47" s="319"/>
      <c r="WWK47" s="319"/>
      <c r="WWL47" s="319"/>
      <c r="WWM47" s="319"/>
      <c r="WWN47" s="319"/>
      <c r="WWO47" s="319"/>
      <c r="WWP47" s="319"/>
      <c r="WWQ47" s="319"/>
      <c r="WWR47" s="319"/>
      <c r="WWS47" s="319"/>
      <c r="WWT47" s="319"/>
      <c r="WWU47" s="319"/>
      <c r="WWV47" s="319"/>
      <c r="WWW47" s="319"/>
      <c r="WWX47" s="319"/>
      <c r="WWY47" s="319"/>
      <c r="WWZ47" s="319"/>
      <c r="WXA47" s="319"/>
      <c r="WXB47" s="319"/>
      <c r="WXC47" s="319"/>
      <c r="WXD47" s="319"/>
      <c r="WXE47" s="319"/>
      <c r="WXF47" s="319"/>
      <c r="WXG47" s="319"/>
      <c r="WXH47" s="319"/>
      <c r="WXI47" s="319"/>
      <c r="WXJ47" s="319"/>
      <c r="WXK47" s="319"/>
      <c r="WXL47" s="319"/>
      <c r="WXM47" s="319"/>
      <c r="WXN47" s="319"/>
      <c r="WXO47" s="319"/>
      <c r="WXP47" s="319"/>
      <c r="WXQ47" s="319"/>
      <c r="WXR47" s="319"/>
      <c r="WXS47" s="319"/>
      <c r="WXT47" s="319"/>
      <c r="WXU47" s="319"/>
      <c r="WXV47" s="319"/>
      <c r="WXW47" s="319"/>
      <c r="WXX47" s="319"/>
      <c r="WXY47" s="319"/>
      <c r="WXZ47" s="319"/>
      <c r="WYA47" s="319"/>
      <c r="WYB47" s="319"/>
      <c r="WYC47" s="319"/>
      <c r="WYD47" s="319"/>
      <c r="WYE47" s="319"/>
      <c r="WYF47" s="319"/>
      <c r="WYG47" s="319"/>
      <c r="WYH47" s="319"/>
      <c r="WYI47" s="319"/>
      <c r="WYJ47" s="319"/>
      <c r="WYK47" s="319"/>
      <c r="WYL47" s="319"/>
      <c r="WYM47" s="319"/>
      <c r="WYN47" s="319"/>
      <c r="WYO47" s="319"/>
      <c r="WYP47" s="319"/>
      <c r="WYQ47" s="319"/>
      <c r="WYR47" s="319"/>
      <c r="WYS47" s="319"/>
      <c r="WYT47" s="319"/>
      <c r="WYU47" s="319"/>
      <c r="WYV47" s="319"/>
      <c r="WYW47" s="319"/>
      <c r="WYX47" s="319"/>
      <c r="WYY47" s="319"/>
      <c r="WYZ47" s="319"/>
      <c r="WZA47" s="319"/>
      <c r="WZB47" s="319"/>
      <c r="WZC47" s="319"/>
      <c r="WZD47" s="319"/>
      <c r="WZE47" s="319"/>
      <c r="WZF47" s="319"/>
      <c r="WZG47" s="319"/>
      <c r="WZH47" s="319"/>
      <c r="WZI47" s="319"/>
      <c r="WZJ47" s="319"/>
      <c r="WZK47" s="319"/>
      <c r="WZL47" s="319"/>
      <c r="WZM47" s="319"/>
      <c r="WZN47" s="319"/>
      <c r="WZO47" s="319"/>
      <c r="WZP47" s="319"/>
      <c r="WZQ47" s="319"/>
      <c r="WZR47" s="319"/>
      <c r="WZS47" s="319"/>
      <c r="WZT47" s="319"/>
      <c r="WZU47" s="319"/>
      <c r="WZV47" s="319"/>
      <c r="WZW47" s="319"/>
      <c r="WZX47" s="319"/>
      <c r="WZY47" s="319"/>
      <c r="WZZ47" s="319"/>
      <c r="XAA47" s="319"/>
      <c r="XAB47" s="319"/>
      <c r="XAC47" s="319"/>
      <c r="XAD47" s="319"/>
      <c r="XAE47" s="319"/>
      <c r="XAF47" s="319"/>
      <c r="XAG47" s="319"/>
      <c r="XAH47" s="319"/>
      <c r="XAI47" s="319"/>
      <c r="XAJ47" s="319"/>
      <c r="XAK47" s="319"/>
      <c r="XAL47" s="319"/>
      <c r="XAM47" s="319"/>
      <c r="XAN47" s="319"/>
      <c r="XAO47" s="319"/>
      <c r="XAP47" s="319"/>
      <c r="XAQ47" s="319"/>
      <c r="XAR47" s="319"/>
      <c r="XAS47" s="319"/>
      <c r="XAT47" s="319"/>
      <c r="XAU47" s="319"/>
      <c r="XAV47" s="319"/>
      <c r="XAW47" s="319"/>
      <c r="XAX47" s="319"/>
      <c r="XAY47" s="319"/>
      <c r="XAZ47" s="319"/>
      <c r="XBA47" s="319"/>
      <c r="XBB47" s="319"/>
      <c r="XBC47" s="319"/>
      <c r="XBD47" s="319"/>
      <c r="XBE47" s="319"/>
      <c r="XBF47" s="319"/>
      <c r="XBG47" s="319"/>
      <c r="XBH47" s="319"/>
      <c r="XBI47" s="319"/>
      <c r="XBJ47" s="319"/>
      <c r="XBK47" s="319"/>
      <c r="XBL47" s="319"/>
      <c r="XBM47" s="319"/>
      <c r="XBN47" s="319"/>
      <c r="XBO47" s="319"/>
      <c r="XBP47" s="319"/>
      <c r="XBQ47" s="319"/>
      <c r="XBR47" s="319"/>
      <c r="XBS47" s="319"/>
      <c r="XBT47" s="319"/>
      <c r="XBU47" s="319"/>
      <c r="XBV47" s="319"/>
      <c r="XBW47" s="319"/>
      <c r="XBX47" s="319"/>
      <c r="XBY47" s="319"/>
      <c r="XBZ47" s="319"/>
      <c r="XCA47" s="319"/>
      <c r="XCB47" s="319"/>
      <c r="XCC47" s="319"/>
      <c r="XCD47" s="319"/>
      <c r="XCE47" s="319"/>
      <c r="XCF47" s="319"/>
      <c r="XCG47" s="319"/>
      <c r="XCH47" s="319"/>
      <c r="XCI47" s="319"/>
      <c r="XCJ47" s="319"/>
      <c r="XCK47" s="319"/>
      <c r="XCL47" s="319"/>
      <c r="XCM47" s="319"/>
      <c r="XCN47" s="319"/>
      <c r="XCO47" s="319"/>
      <c r="XCP47" s="319"/>
      <c r="XCQ47" s="319"/>
      <c r="XCR47" s="319"/>
      <c r="XCS47" s="319"/>
      <c r="XCT47" s="319"/>
      <c r="XCU47" s="319"/>
      <c r="XCV47" s="319"/>
      <c r="XCW47" s="319"/>
      <c r="XCX47" s="319"/>
      <c r="XCY47" s="319"/>
      <c r="XCZ47" s="319"/>
      <c r="XDA47" s="319"/>
      <c r="XDB47" s="319"/>
      <c r="XDC47" s="319"/>
      <c r="XDD47" s="319"/>
      <c r="XDE47" s="319"/>
      <c r="XDF47" s="319"/>
      <c r="XDG47" s="319"/>
      <c r="XDH47" s="319"/>
      <c r="XDI47" s="319"/>
      <c r="XDJ47" s="319"/>
      <c r="XDK47" s="319"/>
      <c r="XDL47" s="319"/>
      <c r="XDM47" s="319"/>
      <c r="XDN47" s="319"/>
      <c r="XDO47" s="319"/>
      <c r="XDP47" s="319"/>
      <c r="XDQ47" s="319"/>
      <c r="XDR47" s="319"/>
      <c r="XDS47" s="319"/>
      <c r="XDT47" s="319"/>
      <c r="XDU47" s="319"/>
      <c r="XDV47" s="319"/>
      <c r="XDW47" s="319"/>
      <c r="XDX47" s="319"/>
      <c r="XDY47" s="319"/>
      <c r="XDZ47" s="319"/>
      <c r="XEA47" s="319"/>
      <c r="XEB47" s="319"/>
      <c r="XEC47" s="319"/>
      <c r="XED47" s="319"/>
      <c r="XEE47" s="319"/>
      <c r="XEF47" s="319"/>
      <c r="XEG47" s="319"/>
      <c r="XEH47" s="319"/>
      <c r="XEI47" s="319"/>
      <c r="XEJ47" s="319"/>
      <c r="XEK47" s="319"/>
      <c r="XEL47" s="319"/>
      <c r="XEM47" s="319"/>
      <c r="XEN47" s="319"/>
      <c r="XEO47" s="319"/>
      <c r="XEP47" s="319"/>
      <c r="XEQ47" s="319"/>
      <c r="XER47" s="319"/>
      <c r="XES47" s="319"/>
      <c r="XET47" s="319"/>
      <c r="XEU47" s="319"/>
      <c r="XEV47" s="319"/>
      <c r="XEW47" s="319"/>
      <c r="XEX47" s="319"/>
      <c r="XEY47" s="319"/>
      <c r="XEZ47" s="319"/>
    </row>
    <row r="48" spans="1:16380" s="464" customFormat="1">
      <c r="A48" s="374" t="s">
        <v>242</v>
      </c>
      <c r="B48" s="538"/>
      <c r="C48" s="538"/>
      <c r="D48" s="538"/>
      <c r="E48" s="538"/>
      <c r="F48" s="538"/>
      <c r="G48" s="538"/>
      <c r="H48" s="538"/>
      <c r="I48" s="538"/>
      <c r="J48" s="538"/>
      <c r="K48" s="538"/>
      <c r="L48" s="538"/>
      <c r="M48" s="538"/>
      <c r="N48" s="538"/>
      <c r="O48" s="538"/>
    </row>
    <row r="49" spans="1:15" s="464" customFormat="1">
      <c r="A49" s="374" t="s">
        <v>249</v>
      </c>
      <c r="B49" s="538"/>
      <c r="C49" s="538"/>
      <c r="D49" s="538"/>
      <c r="E49" s="538"/>
      <c r="F49" s="538"/>
      <c r="G49" s="538"/>
      <c r="H49" s="538"/>
      <c r="I49" s="538"/>
      <c r="J49" s="538"/>
      <c r="K49" s="538"/>
      <c r="L49" s="538"/>
      <c r="M49" s="538"/>
      <c r="N49" s="538"/>
      <c r="O49" s="538"/>
    </row>
    <row r="50" spans="1:15" s="464" customFormat="1">
      <c r="A50" s="1065" t="s">
        <v>176</v>
      </c>
      <c r="B50" s="1065" t="s">
        <v>244</v>
      </c>
      <c r="C50" s="1065" t="s">
        <v>559</v>
      </c>
      <c r="D50" s="1065"/>
      <c r="E50" s="1065"/>
      <c r="F50" s="1065"/>
      <c r="G50" s="1065" t="s">
        <v>560</v>
      </c>
      <c r="H50" s="1065"/>
      <c r="I50" s="1065"/>
      <c r="J50" s="1065"/>
      <c r="K50" s="1065" t="s">
        <v>561</v>
      </c>
      <c r="L50" s="1065"/>
      <c r="M50" s="1065"/>
      <c r="N50" s="1065"/>
      <c r="O50" s="538"/>
    </row>
    <row r="51" spans="1:15" s="464" customFormat="1" ht="63.75">
      <c r="A51" s="1065"/>
      <c r="B51" s="1065"/>
      <c r="C51" s="563" t="s">
        <v>291</v>
      </c>
      <c r="D51" s="1066" t="s">
        <v>292</v>
      </c>
      <c r="E51" s="1067"/>
      <c r="F51" s="563" t="s">
        <v>293</v>
      </c>
      <c r="G51" s="563" t="s">
        <v>291</v>
      </c>
      <c r="H51" s="1066" t="s">
        <v>292</v>
      </c>
      <c r="I51" s="1067"/>
      <c r="J51" s="563" t="s">
        <v>293</v>
      </c>
      <c r="K51" s="563" t="s">
        <v>291</v>
      </c>
      <c r="L51" s="1066" t="s">
        <v>292</v>
      </c>
      <c r="M51" s="1067"/>
      <c r="N51" s="563" t="s">
        <v>293</v>
      </c>
      <c r="O51" s="538"/>
    </row>
    <row r="52" spans="1:15" s="464" customFormat="1" ht="38.25">
      <c r="A52" s="563">
        <v>1</v>
      </c>
      <c r="B52" s="564" t="s">
        <v>854</v>
      </c>
      <c r="C52" s="88">
        <v>4526126.91</v>
      </c>
      <c r="D52" s="1078">
        <v>1.5E-3</v>
      </c>
      <c r="E52" s="1079"/>
      <c r="F52" s="88">
        <v>6460.4</v>
      </c>
      <c r="G52" s="88">
        <v>4892473.47</v>
      </c>
      <c r="H52" s="1078">
        <v>1.5E-3</v>
      </c>
      <c r="I52" s="1079"/>
      <c r="J52" s="88">
        <v>6460.4</v>
      </c>
      <c r="K52" s="88">
        <v>4856891.72</v>
      </c>
      <c r="L52" s="1078">
        <v>1.5E-3</v>
      </c>
      <c r="M52" s="1079"/>
      <c r="N52" s="88">
        <v>6460.4</v>
      </c>
      <c r="O52" s="538"/>
    </row>
    <row r="53" spans="1:15" s="464" customFormat="1" ht="25.5">
      <c r="A53" s="563">
        <v>2</v>
      </c>
      <c r="B53" s="564" t="s">
        <v>297</v>
      </c>
      <c r="C53" s="88" t="s">
        <v>25</v>
      </c>
      <c r="D53" s="1063" t="s">
        <v>25</v>
      </c>
      <c r="E53" s="1064"/>
      <c r="F53" s="88">
        <v>0</v>
      </c>
      <c r="G53" s="88" t="s">
        <v>25</v>
      </c>
      <c r="H53" s="1063" t="s">
        <v>25</v>
      </c>
      <c r="I53" s="1064"/>
      <c r="J53" s="580">
        <v>0</v>
      </c>
      <c r="K53" s="88" t="s">
        <v>25</v>
      </c>
      <c r="L53" s="1063" t="s">
        <v>25</v>
      </c>
      <c r="M53" s="1064"/>
      <c r="N53" s="580">
        <v>0</v>
      </c>
      <c r="O53" s="538"/>
    </row>
    <row r="54" spans="1:15" s="464" customFormat="1" ht="38.25">
      <c r="A54" s="563">
        <v>3</v>
      </c>
      <c r="B54" s="564" t="s">
        <v>484</v>
      </c>
      <c r="C54" s="88" t="s">
        <v>25</v>
      </c>
      <c r="D54" s="1063" t="s">
        <v>25</v>
      </c>
      <c r="E54" s="1064"/>
      <c r="F54" s="88">
        <v>0</v>
      </c>
      <c r="G54" s="88" t="s">
        <v>25</v>
      </c>
      <c r="H54" s="1063" t="s">
        <v>25</v>
      </c>
      <c r="I54" s="1064"/>
      <c r="J54" s="580">
        <v>0</v>
      </c>
      <c r="K54" s="88" t="s">
        <v>25</v>
      </c>
      <c r="L54" s="1063" t="s">
        <v>25</v>
      </c>
      <c r="M54" s="1064"/>
      <c r="N54" s="580">
        <v>0</v>
      </c>
      <c r="O54" s="538"/>
    </row>
    <row r="55" spans="1:15" s="464" customFormat="1" ht="38.25">
      <c r="A55" s="563">
        <v>4</v>
      </c>
      <c r="B55" s="564" t="s">
        <v>535</v>
      </c>
      <c r="C55" s="88" t="s">
        <v>25</v>
      </c>
      <c r="D55" s="1063" t="s">
        <v>25</v>
      </c>
      <c r="E55" s="1064"/>
      <c r="F55" s="88">
        <v>0</v>
      </c>
      <c r="G55" s="88" t="s">
        <v>25</v>
      </c>
      <c r="H55" s="1063" t="s">
        <v>25</v>
      </c>
      <c r="I55" s="1064"/>
      <c r="J55" s="580">
        <v>0</v>
      </c>
      <c r="K55" s="88" t="s">
        <v>25</v>
      </c>
      <c r="L55" s="1063" t="s">
        <v>25</v>
      </c>
      <c r="M55" s="1064"/>
      <c r="N55" s="580">
        <v>0</v>
      </c>
      <c r="O55" s="538"/>
    </row>
    <row r="56" spans="1:15" s="464" customFormat="1" hidden="1">
      <c r="A56" s="563"/>
      <c r="B56" s="564"/>
      <c r="C56" s="88"/>
      <c r="D56" s="1063"/>
      <c r="E56" s="1064"/>
      <c r="F56" s="88"/>
      <c r="G56" s="88"/>
      <c r="H56" s="1063"/>
      <c r="I56" s="1064"/>
      <c r="J56" s="580"/>
      <c r="K56" s="88"/>
      <c r="L56" s="1063"/>
      <c r="M56" s="1064"/>
      <c r="N56" s="580"/>
      <c r="O56" s="538"/>
    </row>
    <row r="57" spans="1:15" s="464" customFormat="1">
      <c r="A57" s="563"/>
      <c r="B57" s="563" t="s">
        <v>254</v>
      </c>
      <c r="C57" s="88" t="s">
        <v>25</v>
      </c>
      <c r="D57" s="1063" t="s">
        <v>25</v>
      </c>
      <c r="E57" s="1064"/>
      <c r="F57" s="88">
        <f>SUM(F52:F56)</f>
        <v>6460.4</v>
      </c>
      <c r="G57" s="88" t="s">
        <v>25</v>
      </c>
      <c r="H57" s="1063" t="s">
        <v>25</v>
      </c>
      <c r="I57" s="1064"/>
      <c r="J57" s="88">
        <f>SUM(J52:J55)</f>
        <v>6460.4</v>
      </c>
      <c r="K57" s="88" t="s">
        <v>25</v>
      </c>
      <c r="L57" s="1063" t="s">
        <v>25</v>
      </c>
      <c r="M57" s="1064"/>
      <c r="N57" s="88">
        <f>SUM(N52:N55)</f>
        <v>6460.4</v>
      </c>
      <c r="O57" s="538"/>
    </row>
    <row r="58" spans="1:15" s="111" customFormat="1">
      <c r="A58" s="535"/>
      <c r="B58" s="535"/>
      <c r="C58" s="536"/>
      <c r="D58" s="581"/>
      <c r="E58" s="581"/>
      <c r="F58" s="536"/>
      <c r="G58" s="536"/>
      <c r="H58" s="581"/>
      <c r="I58" s="581"/>
      <c r="J58" s="536"/>
      <c r="K58" s="536"/>
      <c r="L58" s="581"/>
      <c r="M58" s="581"/>
      <c r="N58" s="536"/>
      <c r="O58" s="538"/>
    </row>
    <row r="59" spans="1:15" s="121" customFormat="1" hidden="1">
      <c r="A59" s="583" t="s">
        <v>298</v>
      </c>
      <c r="B59" s="538"/>
      <c r="C59" s="538"/>
      <c r="D59" s="538"/>
      <c r="E59" s="538"/>
      <c r="F59" s="538"/>
      <c r="G59" s="538"/>
      <c r="H59" s="538"/>
      <c r="I59" s="538"/>
      <c r="J59" s="538"/>
      <c r="K59" s="538"/>
      <c r="L59" s="538"/>
      <c r="M59" s="538"/>
      <c r="N59" s="538"/>
      <c r="O59" s="538"/>
    </row>
    <row r="60" spans="1:15" s="121" customFormat="1" hidden="1">
      <c r="A60" s="374" t="s">
        <v>288</v>
      </c>
      <c r="B60" s="538"/>
      <c r="C60" s="538"/>
      <c r="D60" s="538"/>
      <c r="E60" s="538"/>
      <c r="F60" s="538"/>
      <c r="G60" s="538"/>
      <c r="H60" s="538"/>
      <c r="I60" s="538"/>
      <c r="J60" s="538"/>
      <c r="K60" s="538"/>
      <c r="L60" s="538"/>
      <c r="M60" s="538"/>
      <c r="N60" s="538"/>
      <c r="O60" s="538"/>
    </row>
    <row r="61" spans="1:15" s="121" customFormat="1" ht="25.5" hidden="1" customHeight="1">
      <c r="A61" s="583" t="s">
        <v>289</v>
      </c>
      <c r="B61" s="538"/>
      <c r="C61" s="538"/>
      <c r="D61" s="538"/>
      <c r="E61" s="538"/>
      <c r="F61" s="538"/>
      <c r="G61" s="538"/>
      <c r="H61" s="538"/>
      <c r="I61" s="538"/>
      <c r="J61" s="538"/>
      <c r="K61" s="538"/>
      <c r="L61" s="538"/>
      <c r="M61" s="538"/>
      <c r="N61" s="538"/>
      <c r="O61" s="538"/>
    </row>
    <row r="62" spans="1:15" s="121" customFormat="1" ht="31.5" hidden="1" customHeight="1">
      <c r="A62" s="1065" t="s">
        <v>176</v>
      </c>
      <c r="B62" s="1065" t="s">
        <v>244</v>
      </c>
      <c r="C62" s="1065" t="s">
        <v>274</v>
      </c>
      <c r="D62" s="1065"/>
      <c r="E62" s="563"/>
      <c r="F62" s="1065" t="s">
        <v>275</v>
      </c>
      <c r="G62" s="1065"/>
      <c r="H62" s="1065" t="s">
        <v>276</v>
      </c>
      <c r="I62" s="1065"/>
      <c r="J62" s="1065"/>
      <c r="K62" s="538"/>
      <c r="L62" s="538"/>
      <c r="M62" s="538"/>
      <c r="N62" s="538"/>
      <c r="O62" s="538"/>
    </row>
    <row r="63" spans="1:15" s="121" customFormat="1" ht="25.5" hidden="1" customHeight="1">
      <c r="A63" s="1065"/>
      <c r="B63" s="1065"/>
      <c r="C63" s="1065" t="s">
        <v>299</v>
      </c>
      <c r="D63" s="563" t="s">
        <v>300</v>
      </c>
      <c r="E63" s="563"/>
      <c r="F63" s="1065" t="s">
        <v>299</v>
      </c>
      <c r="G63" s="563" t="s">
        <v>300</v>
      </c>
      <c r="H63" s="1065" t="s">
        <v>299</v>
      </c>
      <c r="I63" s="563"/>
      <c r="J63" s="563" t="s">
        <v>300</v>
      </c>
      <c r="K63" s="538"/>
      <c r="L63" s="538"/>
      <c r="M63" s="538"/>
      <c r="N63" s="538"/>
      <c r="O63" s="538"/>
    </row>
    <row r="64" spans="1:15" s="121" customFormat="1" hidden="1">
      <c r="A64" s="1065"/>
      <c r="B64" s="1065"/>
      <c r="C64" s="1065"/>
      <c r="D64" s="563" t="s">
        <v>301</v>
      </c>
      <c r="E64" s="563"/>
      <c r="F64" s="1065"/>
      <c r="G64" s="563" t="s">
        <v>301</v>
      </c>
      <c r="H64" s="1065"/>
      <c r="I64" s="563"/>
      <c r="J64" s="563" t="s">
        <v>301</v>
      </c>
      <c r="K64" s="538"/>
      <c r="L64" s="538"/>
      <c r="M64" s="538"/>
      <c r="N64" s="538"/>
      <c r="O64" s="538"/>
    </row>
    <row r="65" spans="1:15" s="121" customFormat="1" hidden="1">
      <c r="A65" s="564"/>
      <c r="B65" s="564"/>
      <c r="C65" s="584"/>
      <c r="D65" s="584"/>
      <c r="E65" s="584"/>
      <c r="F65" s="584"/>
      <c r="G65" s="584"/>
      <c r="H65" s="584"/>
      <c r="I65" s="584"/>
      <c r="J65" s="584"/>
      <c r="K65" s="538"/>
      <c r="L65" s="538"/>
      <c r="M65" s="538"/>
      <c r="N65" s="538"/>
      <c r="O65" s="538"/>
    </row>
    <row r="66" spans="1:15" s="121" customFormat="1" hidden="1">
      <c r="A66" s="564"/>
      <c r="B66" s="564"/>
      <c r="C66" s="585"/>
      <c r="D66" s="585"/>
      <c r="E66" s="585"/>
      <c r="F66" s="585"/>
      <c r="G66" s="585"/>
      <c r="H66" s="585"/>
      <c r="I66" s="585"/>
      <c r="J66" s="585"/>
      <c r="K66" s="538"/>
      <c r="L66" s="538"/>
      <c r="M66" s="538"/>
      <c r="N66" s="538"/>
      <c r="O66" s="538"/>
    </row>
    <row r="67" spans="1:15" s="121" customFormat="1">
      <c r="A67" s="583"/>
      <c r="B67" s="538"/>
      <c r="C67" s="538"/>
      <c r="D67" s="538"/>
      <c r="E67" s="538"/>
      <c r="F67" s="538"/>
      <c r="G67" s="538"/>
      <c r="H67" s="538"/>
      <c r="I67" s="538"/>
      <c r="J67" s="538"/>
      <c r="K67" s="538"/>
      <c r="L67" s="538"/>
      <c r="M67" s="538"/>
      <c r="N67" s="538"/>
      <c r="O67" s="538"/>
    </row>
    <row r="68" spans="1:15" ht="15.75">
      <c r="A68" s="586" t="s">
        <v>302</v>
      </c>
      <c r="B68" s="538"/>
      <c r="C68" s="538"/>
      <c r="D68" s="538"/>
      <c r="E68" s="538"/>
      <c r="F68" s="538"/>
      <c r="G68" s="538"/>
      <c r="H68" s="538"/>
      <c r="I68" s="538"/>
      <c r="J68" s="538"/>
      <c r="K68" s="538"/>
      <c r="L68" s="538"/>
      <c r="M68" s="538"/>
      <c r="N68" s="538"/>
      <c r="O68" s="538"/>
    </row>
    <row r="69" spans="1:15">
      <c r="A69" s="538"/>
      <c r="B69" s="538"/>
      <c r="C69" s="538"/>
      <c r="D69" s="538"/>
      <c r="E69" s="538"/>
      <c r="F69" s="538"/>
      <c r="G69" s="538"/>
      <c r="H69" s="538"/>
      <c r="I69" s="538"/>
      <c r="J69" s="538"/>
      <c r="K69" s="538"/>
      <c r="L69" s="538"/>
      <c r="M69" s="538"/>
      <c r="N69" s="538"/>
      <c r="O69" s="538"/>
    </row>
    <row r="70" spans="1:15" ht="15.75">
      <c r="A70" s="586" t="s">
        <v>303</v>
      </c>
      <c r="B70" s="538"/>
      <c r="C70" s="538"/>
      <c r="D70" s="538"/>
      <c r="E70" s="538"/>
      <c r="F70" s="538"/>
      <c r="G70" s="538"/>
      <c r="H70" s="538"/>
      <c r="I70" s="538"/>
      <c r="J70" s="538"/>
      <c r="K70" s="538"/>
      <c r="L70" s="538"/>
      <c r="M70" s="538"/>
      <c r="N70" s="538"/>
      <c r="O70" s="538"/>
    </row>
    <row r="71" spans="1:15">
      <c r="A71" s="538"/>
      <c r="B71" s="538"/>
      <c r="C71" s="538"/>
      <c r="D71" s="538"/>
      <c r="E71" s="538"/>
      <c r="F71" s="538"/>
      <c r="G71" s="538"/>
      <c r="H71" s="538"/>
      <c r="I71" s="538"/>
      <c r="J71" s="538"/>
      <c r="K71" s="538"/>
      <c r="L71" s="538"/>
      <c r="M71" s="538"/>
      <c r="N71" s="538"/>
      <c r="O71" s="538"/>
    </row>
    <row r="72" spans="1:15" s="463" customFormat="1">
      <c r="A72" s="539" t="s">
        <v>235</v>
      </c>
      <c r="B72" s="540"/>
      <c r="C72" s="540"/>
      <c r="D72" s="540"/>
      <c r="E72" s="540"/>
      <c r="F72" s="540"/>
      <c r="G72" s="540"/>
      <c r="H72" s="540"/>
      <c r="I72" s="540"/>
      <c r="J72" s="540"/>
      <c r="K72" s="540"/>
      <c r="L72" s="540"/>
      <c r="M72" s="540"/>
      <c r="N72" s="540"/>
      <c r="O72" s="540"/>
    </row>
    <row r="73" spans="1:15" s="464" customFormat="1" ht="15.75" customHeight="1">
      <c r="A73" s="374" t="s">
        <v>236</v>
      </c>
      <c r="B73" s="538"/>
      <c r="C73" s="538"/>
      <c r="D73" s="538"/>
      <c r="E73" s="538"/>
      <c r="F73" s="538"/>
      <c r="G73" s="538"/>
      <c r="H73" s="538"/>
      <c r="I73" s="538"/>
      <c r="J73" s="538"/>
      <c r="K73" s="538"/>
      <c r="L73" s="538"/>
      <c r="M73" s="538"/>
      <c r="N73" s="538"/>
      <c r="O73" s="538"/>
    </row>
    <row r="74" spans="1:15" s="464" customFormat="1" ht="15.75" customHeight="1">
      <c r="A74" s="374" t="s">
        <v>237</v>
      </c>
      <c r="B74" s="538"/>
      <c r="C74" s="538"/>
      <c r="D74" s="538"/>
      <c r="E74" s="538"/>
      <c r="F74" s="538"/>
      <c r="G74" s="538"/>
      <c r="H74" s="538"/>
      <c r="I74" s="538"/>
      <c r="J74" s="538"/>
      <c r="K74" s="538"/>
      <c r="L74" s="538"/>
      <c r="M74" s="538"/>
      <c r="N74" s="538"/>
      <c r="O74" s="538"/>
    </row>
    <row r="75" spans="1:15" s="464" customFormat="1">
      <c r="A75" s="374" t="s">
        <v>304</v>
      </c>
      <c r="B75" s="538"/>
      <c r="C75" s="538"/>
      <c r="D75" s="538"/>
      <c r="E75" s="538"/>
      <c r="F75" s="538"/>
      <c r="G75" s="538"/>
      <c r="H75" s="538"/>
      <c r="I75" s="538"/>
      <c r="J75" s="538"/>
      <c r="K75" s="538"/>
      <c r="L75" s="538"/>
      <c r="M75" s="538"/>
      <c r="N75" s="538"/>
      <c r="O75" s="538"/>
    </row>
    <row r="76" spans="1:15" s="464" customFormat="1">
      <c r="A76" s="1065" t="s">
        <v>176</v>
      </c>
      <c r="B76" s="1065" t="s">
        <v>244</v>
      </c>
      <c r="C76" s="1065" t="s">
        <v>212</v>
      </c>
      <c r="D76" s="1065" t="s">
        <v>559</v>
      </c>
      <c r="E76" s="1065"/>
      <c r="F76" s="1065"/>
      <c r="G76" s="1065"/>
      <c r="H76" s="1065" t="s">
        <v>560</v>
      </c>
      <c r="I76" s="1065"/>
      <c r="J76" s="1065"/>
      <c r="K76" s="1065"/>
      <c r="L76" s="1065" t="s">
        <v>561</v>
      </c>
      <c r="M76" s="1065"/>
      <c r="N76" s="1065"/>
      <c r="O76" s="1065"/>
    </row>
    <row r="77" spans="1:15" s="464" customFormat="1" ht="15" customHeight="1">
      <c r="A77" s="1065"/>
      <c r="B77" s="1065"/>
      <c r="C77" s="1065"/>
      <c r="D77" s="1065" t="s">
        <v>305</v>
      </c>
      <c r="E77" s="1065" t="s">
        <v>306</v>
      </c>
      <c r="F77" s="1065" t="s">
        <v>307</v>
      </c>
      <c r="G77" s="1065" t="s">
        <v>247</v>
      </c>
      <c r="H77" s="1065" t="s">
        <v>305</v>
      </c>
      <c r="I77" s="1065" t="s">
        <v>306</v>
      </c>
      <c r="J77" s="1065" t="s">
        <v>307</v>
      </c>
      <c r="K77" s="1065" t="s">
        <v>308</v>
      </c>
      <c r="L77" s="1065" t="s">
        <v>305</v>
      </c>
      <c r="M77" s="1065" t="s">
        <v>309</v>
      </c>
      <c r="N77" s="1065" t="s">
        <v>307</v>
      </c>
      <c r="O77" s="1065" t="s">
        <v>308</v>
      </c>
    </row>
    <row r="78" spans="1:15" s="464" customFormat="1" ht="6.75" customHeight="1">
      <c r="A78" s="1065"/>
      <c r="B78" s="1065"/>
      <c r="C78" s="1065"/>
      <c r="D78" s="1065"/>
      <c r="E78" s="1065"/>
      <c r="F78" s="1065"/>
      <c r="G78" s="1065"/>
      <c r="H78" s="1065"/>
      <c r="I78" s="1065"/>
      <c r="J78" s="1065"/>
      <c r="K78" s="1065"/>
      <c r="L78" s="1065"/>
      <c r="M78" s="1065"/>
      <c r="N78" s="1065"/>
      <c r="O78" s="1065"/>
    </row>
    <row r="79" spans="1:15" s="464" customFormat="1" ht="18.75" customHeight="1">
      <c r="A79" s="1065"/>
      <c r="B79" s="1065"/>
      <c r="C79" s="1065"/>
      <c r="D79" s="1065"/>
      <c r="E79" s="1065"/>
      <c r="F79" s="1065"/>
      <c r="G79" s="1065"/>
      <c r="H79" s="1065"/>
      <c r="I79" s="1065"/>
      <c r="J79" s="1065"/>
      <c r="K79" s="1065"/>
      <c r="L79" s="1065"/>
      <c r="M79" s="1065"/>
      <c r="N79" s="1065"/>
      <c r="O79" s="1065"/>
    </row>
    <row r="80" spans="1:15" s="464" customFormat="1" ht="51">
      <c r="A80" s="562">
        <v>1</v>
      </c>
      <c r="B80" s="563" t="s">
        <v>310</v>
      </c>
      <c r="C80" s="562" t="s">
        <v>311</v>
      </c>
      <c r="D80" s="587">
        <v>1</v>
      </c>
      <c r="E80" s="562">
        <v>12</v>
      </c>
      <c r="F80" s="588">
        <v>4800</v>
      </c>
      <c r="G80" s="588">
        <v>57600</v>
      </c>
      <c r="H80" s="587">
        <v>1</v>
      </c>
      <c r="I80" s="562">
        <v>12</v>
      </c>
      <c r="J80" s="588">
        <v>5280</v>
      </c>
      <c r="K80" s="588">
        <f>H80*I80*J80</f>
        <v>63360</v>
      </c>
      <c r="L80" s="587">
        <v>1</v>
      </c>
      <c r="M80" s="562">
        <v>12</v>
      </c>
      <c r="N80" s="588">
        <v>5808</v>
      </c>
      <c r="O80" s="588">
        <f>L80*M80*N80</f>
        <v>69696</v>
      </c>
    </row>
    <row r="81" spans="1:17" s="464" customFormat="1" ht="25.5">
      <c r="A81" s="562">
        <v>2</v>
      </c>
      <c r="B81" s="563" t="s">
        <v>312</v>
      </c>
      <c r="C81" s="562" t="s">
        <v>313</v>
      </c>
      <c r="D81" s="589" t="e">
        <f>G81/F81/E81</f>
        <v>#DIV/0!</v>
      </c>
      <c r="E81" s="562">
        <v>0</v>
      </c>
      <c r="F81" s="588">
        <v>0</v>
      </c>
      <c r="G81" s="588">
        <v>0</v>
      </c>
      <c r="H81" s="562">
        <v>0</v>
      </c>
      <c r="I81" s="562">
        <v>0</v>
      </c>
      <c r="J81" s="588">
        <v>0</v>
      </c>
      <c r="K81" s="588">
        <f t="shared" ref="K81:K84" si="3">I81*J81*H81</f>
        <v>0</v>
      </c>
      <c r="L81" s="562">
        <v>0</v>
      </c>
      <c r="M81" s="562">
        <v>0</v>
      </c>
      <c r="N81" s="588">
        <v>0</v>
      </c>
      <c r="O81" s="588">
        <f t="shared" ref="O81:O84" si="4">M81*N81*L81</f>
        <v>0</v>
      </c>
    </row>
    <row r="82" spans="1:17" s="464" customFormat="1" ht="25.5">
      <c r="A82" s="562">
        <v>3</v>
      </c>
      <c r="B82" s="563" t="s">
        <v>314</v>
      </c>
      <c r="C82" s="562" t="s">
        <v>313</v>
      </c>
      <c r="D82" s="589" t="e">
        <f>G82/E82/F82</f>
        <v>#DIV/0!</v>
      </c>
      <c r="E82" s="562">
        <v>0</v>
      </c>
      <c r="F82" s="588">
        <v>0</v>
      </c>
      <c r="G82" s="588">
        <v>0</v>
      </c>
      <c r="H82" s="562">
        <v>0</v>
      </c>
      <c r="I82" s="562">
        <v>0</v>
      </c>
      <c r="J82" s="588">
        <v>0</v>
      </c>
      <c r="K82" s="588">
        <f t="shared" si="3"/>
        <v>0</v>
      </c>
      <c r="L82" s="562">
        <v>0</v>
      </c>
      <c r="M82" s="562">
        <v>0</v>
      </c>
      <c r="N82" s="588">
        <v>0</v>
      </c>
      <c r="O82" s="588">
        <f t="shared" si="4"/>
        <v>0</v>
      </c>
    </row>
    <row r="83" spans="1:17" s="464" customFormat="1" ht="21.75" customHeight="1">
      <c r="A83" s="562">
        <v>4</v>
      </c>
      <c r="B83" s="1065" t="s">
        <v>315</v>
      </c>
      <c r="C83" s="914" t="s">
        <v>316</v>
      </c>
      <c r="D83" s="563">
        <v>0</v>
      </c>
      <c r="E83" s="562">
        <v>0</v>
      </c>
      <c r="F83" s="588">
        <v>0</v>
      </c>
      <c r="G83" s="588">
        <f t="shared" ref="G83:G84" si="5">E83*F83*D83</f>
        <v>0</v>
      </c>
      <c r="H83" s="562">
        <v>0</v>
      </c>
      <c r="I83" s="562">
        <v>0</v>
      </c>
      <c r="J83" s="588">
        <v>0</v>
      </c>
      <c r="K83" s="588">
        <f t="shared" si="3"/>
        <v>0</v>
      </c>
      <c r="L83" s="562">
        <v>0</v>
      </c>
      <c r="M83" s="562">
        <v>0</v>
      </c>
      <c r="N83" s="588">
        <v>0</v>
      </c>
      <c r="O83" s="588">
        <f t="shared" si="4"/>
        <v>0</v>
      </c>
    </row>
    <row r="84" spans="1:17" s="464" customFormat="1" ht="21.75" customHeight="1">
      <c r="A84" s="563">
        <v>5</v>
      </c>
      <c r="B84" s="1065"/>
      <c r="C84" s="914"/>
      <c r="D84" s="563">
        <v>0</v>
      </c>
      <c r="E84" s="562">
        <v>0</v>
      </c>
      <c r="F84" s="588">
        <v>0</v>
      </c>
      <c r="G84" s="588">
        <f t="shared" si="5"/>
        <v>0</v>
      </c>
      <c r="H84" s="562">
        <v>0</v>
      </c>
      <c r="I84" s="562">
        <v>0</v>
      </c>
      <c r="J84" s="588">
        <v>0</v>
      </c>
      <c r="K84" s="588">
        <f t="shared" si="3"/>
        <v>0</v>
      </c>
      <c r="L84" s="562">
        <v>0</v>
      </c>
      <c r="M84" s="562">
        <v>0</v>
      </c>
      <c r="N84" s="588">
        <v>0</v>
      </c>
      <c r="O84" s="588">
        <f t="shared" si="4"/>
        <v>0</v>
      </c>
    </row>
    <row r="85" spans="1:17" s="464" customFormat="1" ht="30" customHeight="1">
      <c r="A85" s="1065">
        <v>2</v>
      </c>
      <c r="B85" s="1065" t="s">
        <v>317</v>
      </c>
      <c r="C85" s="914" t="s">
        <v>318</v>
      </c>
      <c r="D85" s="587">
        <v>4</v>
      </c>
      <c r="E85" s="562">
        <v>12</v>
      </c>
      <c r="F85" s="588">
        <f>G85/E85/D85</f>
        <v>88.8</v>
      </c>
      <c r="G85" s="588">
        <v>4262.3999999999996</v>
      </c>
      <c r="H85" s="587">
        <v>4</v>
      </c>
      <c r="I85" s="562">
        <v>12</v>
      </c>
      <c r="J85" s="588">
        <v>88.8</v>
      </c>
      <c r="K85" s="588">
        <f>H85*I85*J85</f>
        <v>4262.3999999999996</v>
      </c>
      <c r="L85" s="587">
        <v>4</v>
      </c>
      <c r="M85" s="562">
        <v>12</v>
      </c>
      <c r="N85" s="588">
        <v>88.8</v>
      </c>
      <c r="O85" s="588">
        <f>L85*M85*N85</f>
        <v>4262.3999999999996</v>
      </c>
      <c r="Q85" s="478"/>
    </row>
    <row r="86" spans="1:17" s="464" customFormat="1" ht="24.75" customHeight="1">
      <c r="A86" s="1065"/>
      <c r="B86" s="1065"/>
      <c r="C86" s="914"/>
      <c r="D86" s="563">
        <v>0</v>
      </c>
      <c r="E86" s="562">
        <v>0</v>
      </c>
      <c r="F86" s="588">
        <v>0</v>
      </c>
      <c r="G86" s="588">
        <f>F86*D86</f>
        <v>0</v>
      </c>
      <c r="H86" s="562">
        <v>0</v>
      </c>
      <c r="I86" s="562">
        <v>0</v>
      </c>
      <c r="J86" s="588">
        <v>0</v>
      </c>
      <c r="K86" s="588">
        <f>J86*H86</f>
        <v>0</v>
      </c>
      <c r="L86" s="562">
        <v>0</v>
      </c>
      <c r="M86" s="562">
        <v>0</v>
      </c>
      <c r="N86" s="588">
        <v>0</v>
      </c>
      <c r="O86" s="588">
        <f>N86*L86</f>
        <v>0</v>
      </c>
    </row>
    <row r="87" spans="1:17" s="464" customFormat="1" ht="28.5" customHeight="1">
      <c r="A87" s="563">
        <v>3</v>
      </c>
      <c r="B87" s="1065" t="s">
        <v>319</v>
      </c>
      <c r="C87" s="562" t="s">
        <v>320</v>
      </c>
      <c r="D87" s="562">
        <v>2</v>
      </c>
      <c r="E87" s="562">
        <v>12</v>
      </c>
      <c r="F87" s="588">
        <f>G87/E87/D87</f>
        <v>2645</v>
      </c>
      <c r="G87" s="588">
        <f>63480</f>
        <v>63480</v>
      </c>
      <c r="H87" s="562">
        <v>2</v>
      </c>
      <c r="I87" s="562">
        <v>12</v>
      </c>
      <c r="J87" s="588">
        <f>K87/I87/H87</f>
        <v>2645</v>
      </c>
      <c r="K87" s="588">
        <v>63480</v>
      </c>
      <c r="L87" s="587">
        <v>2</v>
      </c>
      <c r="M87" s="562">
        <v>12</v>
      </c>
      <c r="N87" s="588">
        <f>O87/M87/L87</f>
        <v>2645</v>
      </c>
      <c r="O87" s="590">
        <v>63480</v>
      </c>
    </row>
    <row r="88" spans="1:17" s="464" customFormat="1" ht="28.5" customHeight="1">
      <c r="A88" s="563">
        <v>4</v>
      </c>
      <c r="B88" s="1065"/>
      <c r="C88" s="562" t="s">
        <v>320</v>
      </c>
      <c r="D88" s="562">
        <v>1</v>
      </c>
      <c r="E88" s="562">
        <v>12</v>
      </c>
      <c r="F88" s="588">
        <f>G88/E88</f>
        <v>7300</v>
      </c>
      <c r="G88" s="588">
        <v>87600</v>
      </c>
      <c r="H88" s="562">
        <v>1</v>
      </c>
      <c r="I88" s="562">
        <v>12</v>
      </c>
      <c r="J88" s="588">
        <f>K88/I88</f>
        <v>7300</v>
      </c>
      <c r="K88" s="588">
        <v>87600</v>
      </c>
      <c r="L88" s="562">
        <v>1</v>
      </c>
      <c r="M88" s="562">
        <v>12</v>
      </c>
      <c r="N88" s="588">
        <f>O88/M88</f>
        <v>7300</v>
      </c>
      <c r="O88" s="588">
        <v>87600</v>
      </c>
    </row>
    <row r="89" spans="1:17" s="464" customFormat="1">
      <c r="A89" s="562"/>
      <c r="B89" s="562" t="s">
        <v>254</v>
      </c>
      <c r="C89" s="562" t="s">
        <v>25</v>
      </c>
      <c r="D89" s="563" t="s">
        <v>25</v>
      </c>
      <c r="E89" s="562" t="s">
        <v>25</v>
      </c>
      <c r="F89" s="588" t="s">
        <v>25</v>
      </c>
      <c r="G89" s="588">
        <f>SUM(G80:G88)</f>
        <v>212942.4</v>
      </c>
      <c r="H89" s="588" t="s">
        <v>25</v>
      </c>
      <c r="I89" s="562" t="s">
        <v>25</v>
      </c>
      <c r="J89" s="588" t="s">
        <v>25</v>
      </c>
      <c r="K89" s="588">
        <f>SUM(K80:K88)</f>
        <v>218702.4</v>
      </c>
      <c r="L89" s="562" t="s">
        <v>25</v>
      </c>
      <c r="M89" s="562" t="s">
        <v>25</v>
      </c>
      <c r="N89" s="588" t="s">
        <v>25</v>
      </c>
      <c r="O89" s="588">
        <f>SUM(O80:O88)</f>
        <v>225038.4</v>
      </c>
    </row>
    <row r="90" spans="1:17">
      <c r="A90" s="538"/>
      <c r="B90" s="538"/>
      <c r="C90" s="538"/>
      <c r="D90" s="538"/>
      <c r="E90" s="538"/>
      <c r="F90" s="538"/>
      <c r="G90" s="538"/>
      <c r="H90" s="538"/>
      <c r="I90" s="538"/>
      <c r="J90" s="538"/>
      <c r="K90" s="538"/>
      <c r="L90" s="538"/>
      <c r="M90" s="538"/>
      <c r="N90" s="538"/>
      <c r="O90" s="538"/>
    </row>
    <row r="91" spans="1:17" s="113" customFormat="1">
      <c r="A91" s="543" t="s">
        <v>240</v>
      </c>
      <c r="B91" s="544"/>
      <c r="C91" s="544"/>
      <c r="D91" s="544"/>
      <c r="E91" s="544"/>
      <c r="F91" s="544"/>
      <c r="G91" s="544"/>
      <c r="H91" s="544"/>
      <c r="I91" s="544"/>
      <c r="J91" s="544"/>
      <c r="K91" s="544"/>
      <c r="L91" s="544"/>
      <c r="M91" s="544"/>
      <c r="N91" s="544"/>
      <c r="O91" s="544"/>
    </row>
    <row r="92" spans="1:17">
      <c r="A92" s="374" t="s">
        <v>241</v>
      </c>
      <c r="B92" s="538"/>
      <c r="C92" s="538"/>
      <c r="D92" s="538"/>
      <c r="E92" s="538"/>
      <c r="F92" s="538"/>
      <c r="G92" s="538"/>
      <c r="H92" s="538"/>
      <c r="I92" s="538"/>
      <c r="J92" s="538"/>
      <c r="K92" s="538"/>
      <c r="L92" s="538"/>
      <c r="M92" s="538"/>
      <c r="N92" s="538"/>
      <c r="O92" s="538"/>
    </row>
    <row r="93" spans="1:17">
      <c r="A93" s="374" t="s">
        <v>242</v>
      </c>
      <c r="B93" s="538"/>
      <c r="C93" s="538"/>
      <c r="D93" s="538"/>
      <c r="E93" s="538"/>
      <c r="F93" s="538"/>
      <c r="G93" s="538"/>
      <c r="H93" s="538"/>
      <c r="I93" s="538"/>
      <c r="J93" s="538"/>
      <c r="K93" s="538"/>
      <c r="L93" s="538"/>
      <c r="M93" s="538"/>
      <c r="N93" s="538"/>
      <c r="O93" s="538"/>
    </row>
    <row r="94" spans="1:17">
      <c r="A94" s="374" t="s">
        <v>304</v>
      </c>
      <c r="B94" s="538"/>
      <c r="C94" s="538"/>
      <c r="D94" s="538"/>
      <c r="E94" s="538"/>
      <c r="F94" s="538"/>
      <c r="G94" s="538"/>
      <c r="H94" s="538"/>
      <c r="I94" s="538"/>
      <c r="J94" s="538"/>
      <c r="K94" s="538"/>
      <c r="L94" s="538"/>
      <c r="M94" s="538"/>
      <c r="N94" s="538"/>
      <c r="O94" s="538"/>
    </row>
    <row r="95" spans="1:17" ht="27" customHeight="1">
      <c r="A95" s="1065" t="s">
        <v>176</v>
      </c>
      <c r="B95" s="1065" t="s">
        <v>244</v>
      </c>
      <c r="C95" s="1065" t="s">
        <v>212</v>
      </c>
      <c r="D95" s="1065" t="s">
        <v>559</v>
      </c>
      <c r="E95" s="1065"/>
      <c r="F95" s="1065"/>
      <c r="G95" s="1065"/>
      <c r="H95" s="1065" t="s">
        <v>560</v>
      </c>
      <c r="I95" s="1065"/>
      <c r="J95" s="1065"/>
      <c r="K95" s="1065"/>
      <c r="L95" s="1065" t="s">
        <v>561</v>
      </c>
      <c r="M95" s="1065"/>
      <c r="N95" s="1065"/>
      <c r="O95" s="1065"/>
    </row>
    <row r="96" spans="1:17" ht="15" customHeight="1">
      <c r="A96" s="1065"/>
      <c r="B96" s="1065"/>
      <c r="C96" s="1065"/>
      <c r="D96" s="1065" t="s">
        <v>305</v>
      </c>
      <c r="E96" s="1065" t="s">
        <v>306</v>
      </c>
      <c r="F96" s="1065" t="s">
        <v>307</v>
      </c>
      <c r="G96" s="1065" t="s">
        <v>247</v>
      </c>
      <c r="H96" s="1065" t="s">
        <v>305</v>
      </c>
      <c r="I96" s="1065" t="s">
        <v>306</v>
      </c>
      <c r="J96" s="1065" t="s">
        <v>307</v>
      </c>
      <c r="K96" s="1065" t="s">
        <v>308</v>
      </c>
      <c r="L96" s="1065" t="s">
        <v>305</v>
      </c>
      <c r="M96" s="1065" t="s">
        <v>309</v>
      </c>
      <c r="N96" s="1065" t="s">
        <v>307</v>
      </c>
      <c r="O96" s="1065" t="s">
        <v>308</v>
      </c>
    </row>
    <row r="97" spans="1:15" ht="6.75" customHeight="1">
      <c r="A97" s="1065"/>
      <c r="B97" s="1065"/>
      <c r="C97" s="1065"/>
      <c r="D97" s="1065"/>
      <c r="E97" s="1065"/>
      <c r="F97" s="1065"/>
      <c r="G97" s="1065"/>
      <c r="H97" s="1065"/>
      <c r="I97" s="1065"/>
      <c r="J97" s="1065"/>
      <c r="K97" s="1065"/>
      <c r="L97" s="1065"/>
      <c r="M97" s="1065"/>
      <c r="N97" s="1065"/>
      <c r="O97" s="1065"/>
    </row>
    <row r="98" spans="1:15">
      <c r="A98" s="1065"/>
      <c r="B98" s="1065"/>
      <c r="C98" s="1065"/>
      <c r="D98" s="1065"/>
      <c r="E98" s="1065"/>
      <c r="F98" s="1065"/>
      <c r="G98" s="1065"/>
      <c r="H98" s="1065"/>
      <c r="I98" s="1065"/>
      <c r="J98" s="1065"/>
      <c r="K98" s="1065"/>
      <c r="L98" s="1065"/>
      <c r="M98" s="1065"/>
      <c r="N98" s="1065"/>
      <c r="O98" s="1065"/>
    </row>
    <row r="99" spans="1:15" s="111" customFormat="1" ht="89.25" customHeight="1">
      <c r="A99" s="562">
        <v>1</v>
      </c>
      <c r="B99" s="563" t="s">
        <v>310</v>
      </c>
      <c r="C99" s="562" t="s">
        <v>311</v>
      </c>
      <c r="D99" s="587">
        <v>0</v>
      </c>
      <c r="E99" s="562">
        <v>0</v>
      </c>
      <c r="F99" s="588">
        <v>0</v>
      </c>
      <c r="G99" s="588">
        <f>E99*F99</f>
        <v>0</v>
      </c>
      <c r="H99" s="587">
        <v>0</v>
      </c>
      <c r="I99" s="562">
        <v>0</v>
      </c>
      <c r="J99" s="588">
        <v>0</v>
      </c>
      <c r="K99" s="588">
        <v>0</v>
      </c>
      <c r="L99" s="587">
        <v>0</v>
      </c>
      <c r="M99" s="562">
        <v>0</v>
      </c>
      <c r="N99" s="588">
        <v>0</v>
      </c>
      <c r="O99" s="588">
        <v>0</v>
      </c>
    </row>
    <row r="100" spans="1:15" s="111" customFormat="1" ht="25.5">
      <c r="A100" s="562">
        <v>2</v>
      </c>
      <c r="B100" s="563" t="s">
        <v>312</v>
      </c>
      <c r="C100" s="562" t="s">
        <v>313</v>
      </c>
      <c r="D100" s="589" t="e">
        <f>G100/F100/E100</f>
        <v>#DIV/0!</v>
      </c>
      <c r="E100" s="562">
        <v>0</v>
      </c>
      <c r="F100" s="588">
        <v>0</v>
      </c>
      <c r="G100" s="588">
        <v>0</v>
      </c>
      <c r="H100" s="562">
        <v>0</v>
      </c>
      <c r="I100" s="562">
        <v>0</v>
      </c>
      <c r="J100" s="588">
        <v>0</v>
      </c>
      <c r="K100" s="588">
        <v>0</v>
      </c>
      <c r="L100" s="562">
        <v>0</v>
      </c>
      <c r="M100" s="562">
        <v>0</v>
      </c>
      <c r="N100" s="588">
        <v>0</v>
      </c>
      <c r="O100" s="588">
        <v>0</v>
      </c>
    </row>
    <row r="101" spans="1:15" s="111" customFormat="1" ht="25.5">
      <c r="A101" s="562">
        <v>3</v>
      </c>
      <c r="B101" s="563" t="s">
        <v>314</v>
      </c>
      <c r="C101" s="562" t="s">
        <v>313</v>
      </c>
      <c r="D101" s="589" t="e">
        <f>G101/E101/F101</f>
        <v>#DIV/0!</v>
      </c>
      <c r="E101" s="562">
        <v>0</v>
      </c>
      <c r="F101" s="588">
        <v>0</v>
      </c>
      <c r="G101" s="588">
        <v>0</v>
      </c>
      <c r="H101" s="562">
        <v>0</v>
      </c>
      <c r="I101" s="562">
        <v>0</v>
      </c>
      <c r="J101" s="588">
        <v>0</v>
      </c>
      <c r="K101" s="588">
        <v>0</v>
      </c>
      <c r="L101" s="562">
        <v>0</v>
      </c>
      <c r="M101" s="562">
        <v>0</v>
      </c>
      <c r="N101" s="588">
        <v>0</v>
      </c>
      <c r="O101" s="588">
        <v>0</v>
      </c>
    </row>
    <row r="102" spans="1:15" s="111" customFormat="1" ht="43.5" customHeight="1">
      <c r="A102" s="562">
        <v>4</v>
      </c>
      <c r="B102" s="1065" t="s">
        <v>315</v>
      </c>
      <c r="C102" s="914" t="s">
        <v>316</v>
      </c>
      <c r="D102" s="563">
        <v>0</v>
      </c>
      <c r="E102" s="562">
        <v>0</v>
      </c>
      <c r="F102" s="588">
        <v>0</v>
      </c>
      <c r="G102" s="588">
        <f>E102*F102*D102</f>
        <v>0</v>
      </c>
      <c r="H102" s="562">
        <v>0</v>
      </c>
      <c r="I102" s="562">
        <v>0</v>
      </c>
      <c r="J102" s="588">
        <v>0</v>
      </c>
      <c r="K102" s="588">
        <v>0</v>
      </c>
      <c r="L102" s="562">
        <v>0</v>
      </c>
      <c r="M102" s="562">
        <v>0</v>
      </c>
      <c r="N102" s="588">
        <v>0</v>
      </c>
      <c r="O102" s="588">
        <v>0</v>
      </c>
    </row>
    <row r="103" spans="1:15" s="111" customFormat="1" ht="43.5" customHeight="1">
      <c r="A103" s="563">
        <v>5</v>
      </c>
      <c r="B103" s="1065"/>
      <c r="C103" s="914"/>
      <c r="D103" s="563">
        <v>0</v>
      </c>
      <c r="E103" s="562">
        <v>0</v>
      </c>
      <c r="F103" s="588">
        <v>0</v>
      </c>
      <c r="G103" s="588">
        <f>E103*F103*D103</f>
        <v>0</v>
      </c>
      <c r="H103" s="562">
        <v>0</v>
      </c>
      <c r="I103" s="562">
        <v>0</v>
      </c>
      <c r="J103" s="588">
        <v>0</v>
      </c>
      <c r="K103" s="588">
        <v>0</v>
      </c>
      <c r="L103" s="562">
        <v>0</v>
      </c>
      <c r="M103" s="562">
        <v>0</v>
      </c>
      <c r="N103" s="588">
        <v>0</v>
      </c>
      <c r="O103" s="588">
        <v>0</v>
      </c>
    </row>
    <row r="104" spans="1:15" s="111" customFormat="1" ht="42.75" customHeight="1">
      <c r="A104" s="1065">
        <v>2</v>
      </c>
      <c r="B104" s="1065" t="s">
        <v>317</v>
      </c>
      <c r="C104" s="914" t="s">
        <v>318</v>
      </c>
      <c r="D104" s="587">
        <v>0</v>
      </c>
      <c r="E104" s="562">
        <v>0</v>
      </c>
      <c r="F104" s="588">
        <v>0</v>
      </c>
      <c r="G104" s="588">
        <v>0</v>
      </c>
      <c r="H104" s="587">
        <v>0</v>
      </c>
      <c r="I104" s="562">
        <v>0</v>
      </c>
      <c r="J104" s="588">
        <v>0</v>
      </c>
      <c r="K104" s="588">
        <v>0</v>
      </c>
      <c r="L104" s="587">
        <v>0</v>
      </c>
      <c r="M104" s="562">
        <v>0</v>
      </c>
      <c r="N104" s="588">
        <v>0</v>
      </c>
      <c r="O104" s="588">
        <v>0</v>
      </c>
    </row>
    <row r="105" spans="1:15" s="111" customFormat="1" ht="24.75" customHeight="1">
      <c r="A105" s="1065"/>
      <c r="B105" s="1065"/>
      <c r="C105" s="914"/>
      <c r="D105" s="563">
        <v>0</v>
      </c>
      <c r="E105" s="562">
        <v>0</v>
      </c>
      <c r="F105" s="588">
        <v>0</v>
      </c>
      <c r="G105" s="588">
        <f>F105*D105</f>
        <v>0</v>
      </c>
      <c r="H105" s="562">
        <v>0</v>
      </c>
      <c r="I105" s="562">
        <v>0</v>
      </c>
      <c r="J105" s="588">
        <v>0</v>
      </c>
      <c r="K105" s="588">
        <f>J105*H105</f>
        <v>0</v>
      </c>
      <c r="L105" s="562">
        <v>0</v>
      </c>
      <c r="M105" s="562">
        <v>0</v>
      </c>
      <c r="N105" s="588">
        <v>0</v>
      </c>
      <c r="O105" s="588">
        <f>N105*L105</f>
        <v>0</v>
      </c>
    </row>
    <row r="106" spans="1:15" s="111" customFormat="1" ht="29.25" customHeight="1">
      <c r="A106" s="563">
        <v>3</v>
      </c>
      <c r="B106" s="1065" t="s">
        <v>319</v>
      </c>
      <c r="C106" s="562" t="s">
        <v>320</v>
      </c>
      <c r="D106" s="562">
        <v>0</v>
      </c>
      <c r="E106" s="562">
        <v>0</v>
      </c>
      <c r="F106" s="588">
        <v>0</v>
      </c>
      <c r="G106" s="588">
        <v>0</v>
      </c>
      <c r="H106" s="562">
        <v>0</v>
      </c>
      <c r="I106" s="562">
        <v>0</v>
      </c>
      <c r="J106" s="588">
        <v>0</v>
      </c>
      <c r="K106" s="588">
        <v>0</v>
      </c>
      <c r="L106" s="587">
        <v>0</v>
      </c>
      <c r="M106" s="562">
        <v>0</v>
      </c>
      <c r="N106" s="588">
        <v>0</v>
      </c>
      <c r="O106" s="590">
        <v>0</v>
      </c>
    </row>
    <row r="107" spans="1:15" s="111" customFormat="1" ht="29.25" customHeight="1">
      <c r="A107" s="563">
        <v>4</v>
      </c>
      <c r="B107" s="1065"/>
      <c r="C107" s="562" t="s">
        <v>320</v>
      </c>
      <c r="D107" s="562">
        <v>0</v>
      </c>
      <c r="E107" s="562">
        <v>0</v>
      </c>
      <c r="F107" s="588">
        <v>0</v>
      </c>
      <c r="G107" s="588">
        <v>0</v>
      </c>
      <c r="H107" s="562">
        <v>0</v>
      </c>
      <c r="I107" s="562">
        <v>0</v>
      </c>
      <c r="J107" s="588">
        <v>0</v>
      </c>
      <c r="K107" s="588">
        <v>0</v>
      </c>
      <c r="L107" s="562">
        <v>0</v>
      </c>
      <c r="M107" s="562">
        <v>0</v>
      </c>
      <c r="N107" s="588">
        <v>0</v>
      </c>
      <c r="O107" s="588">
        <v>0</v>
      </c>
    </row>
    <row r="108" spans="1:15" s="111" customFormat="1">
      <c r="A108" s="562"/>
      <c r="B108" s="562" t="s">
        <v>254</v>
      </c>
      <c r="C108" s="562" t="s">
        <v>25</v>
      </c>
      <c r="D108" s="563" t="s">
        <v>25</v>
      </c>
      <c r="E108" s="562" t="s">
        <v>25</v>
      </c>
      <c r="F108" s="588" t="s">
        <v>25</v>
      </c>
      <c r="G108" s="588">
        <f>SUM(G99:G107)</f>
        <v>0</v>
      </c>
      <c r="H108" s="588" t="s">
        <v>25</v>
      </c>
      <c r="I108" s="562" t="s">
        <v>25</v>
      </c>
      <c r="J108" s="588" t="s">
        <v>25</v>
      </c>
      <c r="K108" s="588">
        <f>SUM(K99:K107)</f>
        <v>0</v>
      </c>
      <c r="L108" s="562" t="s">
        <v>25</v>
      </c>
      <c r="M108" s="562" t="s">
        <v>25</v>
      </c>
      <c r="N108" s="588" t="s">
        <v>25</v>
      </c>
      <c r="O108" s="588">
        <f>SUM(O99:O107)</f>
        <v>0</v>
      </c>
    </row>
    <row r="109" spans="1:15" ht="15.75">
      <c r="A109" s="586"/>
      <c r="B109" s="538"/>
      <c r="C109" s="538"/>
      <c r="D109" s="538"/>
      <c r="E109" s="538"/>
      <c r="F109" s="538"/>
      <c r="G109" s="538"/>
      <c r="H109" s="538"/>
      <c r="I109" s="538"/>
      <c r="J109" s="538"/>
      <c r="K109" s="538"/>
      <c r="L109" s="538"/>
      <c r="M109" s="538"/>
      <c r="N109" s="538"/>
      <c r="O109" s="538"/>
    </row>
    <row r="110" spans="1:15" ht="15.75">
      <c r="A110" s="586" t="s">
        <v>321</v>
      </c>
      <c r="B110" s="538"/>
      <c r="C110" s="538"/>
      <c r="D110" s="538"/>
      <c r="E110" s="538"/>
      <c r="F110" s="538"/>
      <c r="G110" s="538"/>
      <c r="H110" s="538"/>
      <c r="I110" s="538"/>
      <c r="J110" s="538"/>
      <c r="K110" s="538"/>
      <c r="L110" s="538"/>
      <c r="M110" s="538"/>
      <c r="N110" s="538"/>
      <c r="O110" s="538"/>
    </row>
    <row r="111" spans="1:15">
      <c r="A111" s="538"/>
      <c r="B111" s="538"/>
      <c r="C111" s="538"/>
      <c r="D111" s="538"/>
      <c r="E111" s="538"/>
      <c r="F111" s="538"/>
      <c r="G111" s="538"/>
      <c r="H111" s="538"/>
      <c r="I111" s="538"/>
      <c r="J111" s="538"/>
      <c r="K111" s="538"/>
      <c r="L111" s="538"/>
      <c r="M111" s="538"/>
      <c r="N111" s="538"/>
      <c r="O111" s="538"/>
    </row>
    <row r="112" spans="1:15" s="463" customFormat="1">
      <c r="A112" s="539" t="s">
        <v>235</v>
      </c>
      <c r="B112" s="540"/>
      <c r="C112" s="540"/>
      <c r="D112" s="540"/>
      <c r="E112" s="540"/>
      <c r="F112" s="540"/>
      <c r="G112" s="540"/>
      <c r="H112" s="540"/>
      <c r="I112" s="540"/>
      <c r="J112" s="540"/>
      <c r="K112" s="540"/>
      <c r="L112" s="540"/>
      <c r="M112" s="540"/>
      <c r="N112" s="540"/>
      <c r="O112" s="591"/>
    </row>
    <row r="113" spans="1:19" s="464" customFormat="1">
      <c r="A113" s="374" t="s">
        <v>236</v>
      </c>
      <c r="B113" s="538"/>
      <c r="C113" s="538"/>
      <c r="D113" s="538"/>
      <c r="E113" s="538"/>
      <c r="F113" s="538"/>
      <c r="G113" s="538"/>
      <c r="H113" s="538"/>
      <c r="I113" s="538"/>
      <c r="J113" s="538"/>
      <c r="K113" s="538"/>
      <c r="L113" s="538"/>
      <c r="M113" s="538"/>
      <c r="N113" s="538"/>
      <c r="O113" s="591"/>
    </row>
    <row r="114" spans="1:19" s="464" customFormat="1">
      <c r="A114" s="374" t="s">
        <v>237</v>
      </c>
      <c r="B114" s="538"/>
      <c r="C114" s="538"/>
      <c r="D114" s="538"/>
      <c r="E114" s="538"/>
      <c r="F114" s="542"/>
      <c r="G114" s="538"/>
      <c r="H114" s="538"/>
      <c r="I114" s="538"/>
      <c r="J114" s="538"/>
      <c r="K114" s="538"/>
      <c r="L114" s="538"/>
      <c r="M114" s="538"/>
      <c r="N114" s="538"/>
      <c r="O114" s="591"/>
    </row>
    <row r="115" spans="1:19" s="464" customFormat="1">
      <c r="A115" s="374" t="s">
        <v>322</v>
      </c>
      <c r="B115" s="538"/>
      <c r="C115" s="538"/>
      <c r="D115" s="538"/>
      <c r="E115" s="538"/>
      <c r="F115" s="542"/>
      <c r="G115" s="538"/>
      <c r="H115" s="538"/>
      <c r="I115" s="538"/>
      <c r="J115" s="538"/>
      <c r="K115" s="538"/>
      <c r="L115" s="538"/>
      <c r="M115" s="538"/>
      <c r="N115" s="538"/>
      <c r="O115" s="591"/>
    </row>
    <row r="116" spans="1:19" s="464" customFormat="1">
      <c r="A116" s="1065" t="s">
        <v>176</v>
      </c>
      <c r="B116" s="1065" t="s">
        <v>244</v>
      </c>
      <c r="C116" s="1065" t="s">
        <v>559</v>
      </c>
      <c r="D116" s="1065"/>
      <c r="E116" s="1065"/>
      <c r="F116" s="1065"/>
      <c r="G116" s="1065" t="s">
        <v>560</v>
      </c>
      <c r="H116" s="1065"/>
      <c r="I116" s="1065"/>
      <c r="J116" s="1065"/>
      <c r="K116" s="1065" t="s">
        <v>561</v>
      </c>
      <c r="L116" s="1065"/>
      <c r="M116" s="1065"/>
      <c r="N116" s="1065"/>
      <c r="O116" s="591"/>
    </row>
    <row r="117" spans="1:19" s="464" customFormat="1" ht="24.75" customHeight="1">
      <c r="A117" s="1065"/>
      <c r="B117" s="1065"/>
      <c r="C117" s="563" t="s">
        <v>323</v>
      </c>
      <c r="D117" s="1074" t="s">
        <v>324</v>
      </c>
      <c r="E117" s="1075"/>
      <c r="F117" s="541" t="s">
        <v>247</v>
      </c>
      <c r="G117" s="541" t="s">
        <v>323</v>
      </c>
      <c r="H117" s="1066" t="s">
        <v>324</v>
      </c>
      <c r="I117" s="1067"/>
      <c r="J117" s="563" t="s">
        <v>247</v>
      </c>
      <c r="K117" s="563" t="s">
        <v>323</v>
      </c>
      <c r="L117" s="1066" t="s">
        <v>324</v>
      </c>
      <c r="M117" s="1067"/>
      <c r="N117" s="563" t="s">
        <v>247</v>
      </c>
      <c r="O117" s="591"/>
    </row>
    <row r="118" spans="1:19" s="464" customFormat="1">
      <c r="A118" s="563">
        <v>1</v>
      </c>
      <c r="B118" s="564" t="s">
        <v>325</v>
      </c>
      <c r="C118" s="580">
        <f>F118/D118</f>
        <v>3845</v>
      </c>
      <c r="D118" s="1072">
        <v>22.67</v>
      </c>
      <c r="E118" s="1073"/>
      <c r="F118" s="284">
        <f>72167.86+15000</f>
        <v>87167.86</v>
      </c>
      <c r="G118" s="592">
        <v>3183</v>
      </c>
      <c r="H118" s="1070">
        <v>22.67</v>
      </c>
      <c r="I118" s="1071"/>
      <c r="J118" s="530">
        <v>72167.86</v>
      </c>
      <c r="K118" s="580">
        <v>3183</v>
      </c>
      <c r="L118" s="1070">
        <v>22.67</v>
      </c>
      <c r="M118" s="1071"/>
      <c r="N118" s="530">
        <v>72167.86</v>
      </c>
      <c r="O118" s="591"/>
    </row>
    <row r="119" spans="1:19" s="464" customFormat="1">
      <c r="A119" s="563">
        <v>2</v>
      </c>
      <c r="B119" s="564" t="s">
        <v>326</v>
      </c>
      <c r="C119" s="580">
        <f>F119/D119</f>
        <v>237</v>
      </c>
      <c r="D119" s="1072">
        <v>651.5</v>
      </c>
      <c r="E119" s="1073"/>
      <c r="F119" s="284">
        <f>111407.4+42734.29</f>
        <v>154141.69</v>
      </c>
      <c r="G119" s="593">
        <v>171</v>
      </c>
      <c r="H119" s="1076">
        <v>651.5</v>
      </c>
      <c r="I119" s="1077"/>
      <c r="J119" s="530">
        <v>111407.4</v>
      </c>
      <c r="K119" s="594">
        <v>171</v>
      </c>
      <c r="L119" s="1076">
        <v>651.5</v>
      </c>
      <c r="M119" s="1077"/>
      <c r="N119" s="530">
        <v>111407.4</v>
      </c>
      <c r="O119" s="591"/>
    </row>
    <row r="120" spans="1:19" s="464" customFormat="1">
      <c r="A120" s="595"/>
      <c r="B120" s="596" t="s">
        <v>254</v>
      </c>
      <c r="C120" s="597" t="s">
        <v>25</v>
      </c>
      <c r="D120" s="1072" t="s">
        <v>25</v>
      </c>
      <c r="E120" s="1073"/>
      <c r="F120" s="284">
        <f>SUM(F118:F119)</f>
        <v>241309.55</v>
      </c>
      <c r="G120" s="598" t="s">
        <v>25</v>
      </c>
      <c r="H120" s="1070" t="s">
        <v>25</v>
      </c>
      <c r="I120" s="1071"/>
      <c r="J120" s="530">
        <f>SUM(J118:J119)</f>
        <v>183575.26</v>
      </c>
      <c r="K120" s="597" t="s">
        <v>25</v>
      </c>
      <c r="L120" s="1070" t="s">
        <v>25</v>
      </c>
      <c r="M120" s="1071"/>
      <c r="N120" s="530">
        <f>SUM(N118:N119)</f>
        <v>183575.26</v>
      </c>
      <c r="O120" s="591"/>
      <c r="Q120" s="470">
        <f>F120</f>
        <v>241309.55</v>
      </c>
      <c r="R120" s="471">
        <f>J120</f>
        <v>183575.26</v>
      </c>
      <c r="S120" s="471">
        <f>N120</f>
        <v>183575.26</v>
      </c>
    </row>
    <row r="121" spans="1:19" s="464" customFormat="1">
      <c r="A121" s="583"/>
      <c r="B121" s="538"/>
      <c r="C121" s="538"/>
      <c r="D121" s="538"/>
      <c r="E121" s="538"/>
      <c r="F121" s="538"/>
      <c r="G121" s="538"/>
      <c r="H121" s="538"/>
      <c r="I121" s="538"/>
      <c r="J121" s="538"/>
      <c r="K121" s="538"/>
      <c r="L121" s="538"/>
      <c r="M121" s="538"/>
      <c r="N121" s="538"/>
      <c r="O121" s="591"/>
      <c r="Q121" s="470">
        <f>F130</f>
        <v>166635.47</v>
      </c>
      <c r="R121" s="470">
        <f>J130</f>
        <v>224369.76</v>
      </c>
      <c r="S121" s="470">
        <f>N130</f>
        <v>224369.76</v>
      </c>
    </row>
    <row r="122" spans="1:19" s="474" customFormat="1">
      <c r="A122" s="543" t="s">
        <v>240</v>
      </c>
      <c r="B122" s="544"/>
      <c r="C122" s="544"/>
      <c r="D122" s="544"/>
      <c r="E122" s="544"/>
      <c r="F122" s="544"/>
      <c r="G122" s="544"/>
      <c r="H122" s="544"/>
      <c r="I122" s="544"/>
      <c r="J122" s="544"/>
      <c r="K122" s="544"/>
      <c r="L122" s="544"/>
      <c r="M122" s="544"/>
      <c r="N122" s="544"/>
      <c r="O122" s="591"/>
      <c r="Q122" s="475">
        <f>SUM(Q120:Q121)</f>
        <v>407945.02</v>
      </c>
      <c r="R122" s="475">
        <f t="shared" ref="R122:S122" si="6">SUM(R120:R121)</f>
        <v>407945.02</v>
      </c>
      <c r="S122" s="475">
        <f t="shared" si="6"/>
        <v>407945.02</v>
      </c>
    </row>
    <row r="123" spans="1:19" s="464" customFormat="1">
      <c r="A123" s="374" t="s">
        <v>241</v>
      </c>
      <c r="B123" s="538"/>
      <c r="C123" s="538"/>
      <c r="D123" s="538"/>
      <c r="E123" s="538"/>
      <c r="F123" s="538"/>
      <c r="G123" s="538"/>
      <c r="H123" s="538"/>
      <c r="I123" s="538"/>
      <c r="J123" s="538"/>
      <c r="K123" s="538"/>
      <c r="L123" s="538"/>
      <c r="M123" s="538"/>
      <c r="N123" s="538"/>
      <c r="O123" s="591"/>
    </row>
    <row r="124" spans="1:19" s="464" customFormat="1">
      <c r="A124" s="374" t="s">
        <v>242</v>
      </c>
      <c r="B124" s="538"/>
      <c r="C124" s="538"/>
      <c r="D124" s="538"/>
      <c r="E124" s="538"/>
      <c r="F124" s="538"/>
      <c r="G124" s="538"/>
      <c r="H124" s="538"/>
      <c r="I124" s="538"/>
      <c r="J124" s="538"/>
      <c r="K124" s="538"/>
      <c r="L124" s="538"/>
      <c r="M124" s="538"/>
      <c r="N124" s="538"/>
      <c r="O124" s="591"/>
    </row>
    <row r="125" spans="1:19" s="464" customFormat="1">
      <c r="A125" s="374" t="s">
        <v>322</v>
      </c>
      <c r="B125" s="538"/>
      <c r="C125" s="538"/>
      <c r="D125" s="538"/>
      <c r="E125" s="538"/>
      <c r="F125" s="538"/>
      <c r="G125" s="538"/>
      <c r="H125" s="538"/>
      <c r="I125" s="538"/>
      <c r="J125" s="538"/>
      <c r="K125" s="538"/>
      <c r="L125" s="538"/>
      <c r="M125" s="538"/>
      <c r="N125" s="538"/>
      <c r="O125" s="591"/>
    </row>
    <row r="126" spans="1:19" s="464" customFormat="1">
      <c r="A126" s="1065" t="s">
        <v>176</v>
      </c>
      <c r="B126" s="1065" t="s">
        <v>244</v>
      </c>
      <c r="C126" s="1065" t="s">
        <v>559</v>
      </c>
      <c r="D126" s="1065"/>
      <c r="E126" s="1065"/>
      <c r="F126" s="1065"/>
      <c r="G126" s="1065" t="s">
        <v>560</v>
      </c>
      <c r="H126" s="1065"/>
      <c r="I126" s="1065"/>
      <c r="J126" s="1065"/>
      <c r="K126" s="1065" t="s">
        <v>561</v>
      </c>
      <c r="L126" s="1065"/>
      <c r="M126" s="1065"/>
      <c r="N126" s="1065"/>
      <c r="O126" s="591"/>
    </row>
    <row r="127" spans="1:19" s="464" customFormat="1" ht="27" customHeight="1">
      <c r="A127" s="1065"/>
      <c r="B127" s="1065"/>
      <c r="C127" s="563" t="s">
        <v>323</v>
      </c>
      <c r="D127" s="1066" t="s">
        <v>324</v>
      </c>
      <c r="E127" s="1067"/>
      <c r="F127" s="563" t="s">
        <v>247</v>
      </c>
      <c r="G127" s="563" t="s">
        <v>323</v>
      </c>
      <c r="H127" s="1066" t="s">
        <v>324</v>
      </c>
      <c r="I127" s="1067"/>
      <c r="J127" s="563" t="s">
        <v>247</v>
      </c>
      <c r="K127" s="563" t="s">
        <v>323</v>
      </c>
      <c r="L127" s="1066" t="s">
        <v>324</v>
      </c>
      <c r="M127" s="1067"/>
      <c r="N127" s="563" t="s">
        <v>247</v>
      </c>
      <c r="O127" s="591"/>
    </row>
    <row r="128" spans="1:19" s="464" customFormat="1">
      <c r="A128" s="563">
        <v>1</v>
      </c>
      <c r="B128" s="564" t="s">
        <v>325</v>
      </c>
      <c r="C128" s="580">
        <v>3892</v>
      </c>
      <c r="D128" s="1070">
        <v>22.67</v>
      </c>
      <c r="E128" s="1071"/>
      <c r="F128" s="88">
        <f>88205.16-15000</f>
        <v>73205.16</v>
      </c>
      <c r="G128" s="88">
        <v>3892</v>
      </c>
      <c r="H128" s="1070">
        <v>22.67</v>
      </c>
      <c r="I128" s="1071"/>
      <c r="J128" s="88">
        <v>88205.16</v>
      </c>
      <c r="K128" s="88">
        <v>3892</v>
      </c>
      <c r="L128" s="1070">
        <v>22.67</v>
      </c>
      <c r="M128" s="1071"/>
      <c r="N128" s="88">
        <v>88205.16</v>
      </c>
      <c r="O128" s="591"/>
    </row>
    <row r="129" spans="1:17" s="464" customFormat="1">
      <c r="A129" s="563">
        <v>2</v>
      </c>
      <c r="B129" s="564" t="s">
        <v>326</v>
      </c>
      <c r="C129" s="88">
        <v>209</v>
      </c>
      <c r="D129" s="1070">
        <v>651.5</v>
      </c>
      <c r="E129" s="1071"/>
      <c r="F129" s="88">
        <f>136164.6-42734.29</f>
        <v>93430.31</v>
      </c>
      <c r="G129" s="88">
        <v>209</v>
      </c>
      <c r="H129" s="1070">
        <v>651.5</v>
      </c>
      <c r="I129" s="1071"/>
      <c r="J129" s="88">
        <v>136164.6</v>
      </c>
      <c r="K129" s="88">
        <v>209</v>
      </c>
      <c r="L129" s="1070">
        <v>651.5</v>
      </c>
      <c r="M129" s="1071"/>
      <c r="N129" s="88">
        <v>136164.6</v>
      </c>
      <c r="O129" s="591"/>
    </row>
    <row r="130" spans="1:17" s="464" customFormat="1">
      <c r="A130" s="595"/>
      <c r="B130" s="596" t="s">
        <v>254</v>
      </c>
      <c r="C130" s="597" t="s">
        <v>25</v>
      </c>
      <c r="D130" s="1070" t="s">
        <v>25</v>
      </c>
      <c r="E130" s="1071"/>
      <c r="F130" s="88">
        <f>SUM(F128:F129)</f>
        <v>166635.47</v>
      </c>
      <c r="G130" s="597" t="s">
        <v>25</v>
      </c>
      <c r="H130" s="1070" t="s">
        <v>25</v>
      </c>
      <c r="I130" s="1071"/>
      <c r="J130" s="88">
        <f>SUM(J128:J129)</f>
        <v>224369.76</v>
      </c>
      <c r="K130" s="597" t="s">
        <v>25</v>
      </c>
      <c r="L130" s="1070" t="s">
        <v>25</v>
      </c>
      <c r="M130" s="1071"/>
      <c r="N130" s="88">
        <f>SUM(N128:N129)</f>
        <v>224369.76</v>
      </c>
      <c r="O130" s="591"/>
    </row>
    <row r="131" spans="1:17">
      <c r="A131" s="538"/>
      <c r="B131" s="538"/>
      <c r="C131" s="538"/>
      <c r="D131" s="538"/>
      <c r="E131" s="538"/>
      <c r="F131" s="538"/>
      <c r="G131" s="538"/>
      <c r="H131" s="538"/>
      <c r="I131" s="538"/>
      <c r="J131" s="538"/>
      <c r="K131" s="538"/>
      <c r="L131" s="538"/>
      <c r="M131" s="538"/>
      <c r="N131" s="538"/>
      <c r="O131" s="591"/>
    </row>
    <row r="132" spans="1:17" s="464" customFormat="1" ht="15.75">
      <c r="A132" s="586" t="s">
        <v>327</v>
      </c>
      <c r="B132" s="538"/>
      <c r="C132" s="538"/>
      <c r="D132" s="538"/>
      <c r="E132" s="538"/>
      <c r="F132" s="538"/>
      <c r="G132" s="538"/>
      <c r="H132" s="538"/>
      <c r="I132" s="538"/>
      <c r="J132" s="538"/>
      <c r="K132" s="538"/>
      <c r="L132" s="538"/>
      <c r="M132" s="538"/>
      <c r="N132" s="538"/>
      <c r="O132" s="591"/>
    </row>
    <row r="133" spans="1:17" s="464" customFormat="1">
      <c r="A133" s="538"/>
      <c r="B133" s="538"/>
      <c r="C133" s="538"/>
      <c r="D133" s="538"/>
      <c r="E133" s="538"/>
      <c r="F133" s="538"/>
      <c r="G133" s="538"/>
      <c r="H133" s="538"/>
      <c r="I133" s="538"/>
      <c r="J133" s="538"/>
      <c r="K133" s="538"/>
      <c r="L133" s="538"/>
      <c r="M133" s="538"/>
      <c r="N133" s="538"/>
      <c r="O133" s="591"/>
      <c r="Q133" s="462" t="s">
        <v>494</v>
      </c>
    </row>
    <row r="134" spans="1:17" s="463" customFormat="1">
      <c r="A134" s="539" t="s">
        <v>235</v>
      </c>
      <c r="B134" s="540"/>
      <c r="C134" s="540"/>
      <c r="D134" s="540"/>
      <c r="E134" s="540"/>
      <c r="F134" s="540"/>
      <c r="G134" s="540"/>
      <c r="H134" s="540"/>
      <c r="I134" s="540"/>
      <c r="J134" s="540"/>
      <c r="K134" s="540"/>
      <c r="L134" s="540"/>
      <c r="M134" s="540"/>
      <c r="N134" s="540"/>
      <c r="O134" s="591"/>
    </row>
    <row r="135" spans="1:17" s="464" customFormat="1">
      <c r="A135" s="374" t="s">
        <v>236</v>
      </c>
      <c r="B135" s="538"/>
      <c r="C135" s="538"/>
      <c r="D135" s="538"/>
      <c r="E135" s="538"/>
      <c r="F135" s="538"/>
      <c r="G135" s="538"/>
      <c r="H135" s="538"/>
      <c r="I135" s="538"/>
      <c r="J135" s="538"/>
      <c r="K135" s="538"/>
      <c r="L135" s="538"/>
      <c r="M135" s="538"/>
      <c r="N135" s="538"/>
      <c r="O135" s="591"/>
    </row>
    <row r="136" spans="1:17" s="464" customFormat="1">
      <c r="A136" s="374" t="s">
        <v>237</v>
      </c>
      <c r="B136" s="538"/>
      <c r="C136" s="538"/>
      <c r="D136" s="538"/>
      <c r="E136" s="538"/>
      <c r="F136" s="538"/>
      <c r="G136" s="538"/>
      <c r="H136" s="538"/>
      <c r="I136" s="538"/>
      <c r="J136" s="538"/>
      <c r="K136" s="538"/>
      <c r="L136" s="538"/>
      <c r="M136" s="538"/>
      <c r="N136" s="538"/>
      <c r="O136" s="591"/>
    </row>
    <row r="137" spans="1:17" s="464" customFormat="1">
      <c r="A137" s="374" t="s">
        <v>580</v>
      </c>
      <c r="B137" s="538"/>
      <c r="C137" s="538"/>
      <c r="D137" s="538"/>
      <c r="E137" s="538"/>
      <c r="F137" s="538"/>
      <c r="G137" s="538"/>
      <c r="H137" s="538"/>
      <c r="I137" s="538"/>
      <c r="J137" s="538"/>
      <c r="K137" s="538"/>
      <c r="L137" s="538"/>
      <c r="M137" s="538"/>
      <c r="N137" s="538"/>
      <c r="O137" s="591"/>
    </row>
    <row r="138" spans="1:17" s="464" customFormat="1">
      <c r="A138" s="1065" t="s">
        <v>176</v>
      </c>
      <c r="B138" s="1065" t="s">
        <v>9</v>
      </c>
      <c r="C138" s="1065" t="s">
        <v>213</v>
      </c>
      <c r="D138" s="1065"/>
      <c r="E138" s="1065"/>
      <c r="F138" s="1065"/>
      <c r="G138" s="1065" t="s">
        <v>214</v>
      </c>
      <c r="H138" s="1065"/>
      <c r="I138" s="1065"/>
      <c r="J138" s="1065"/>
      <c r="K138" s="1065" t="s">
        <v>215</v>
      </c>
      <c r="L138" s="1065"/>
      <c r="M138" s="1065"/>
      <c r="N138" s="1065"/>
      <c r="O138" s="591"/>
    </row>
    <row r="139" spans="1:17" s="464" customFormat="1" ht="23.25" customHeight="1">
      <c r="A139" s="1065"/>
      <c r="B139" s="1065"/>
      <c r="C139" s="1065" t="s">
        <v>328</v>
      </c>
      <c r="D139" s="1066" t="s">
        <v>329</v>
      </c>
      <c r="E139" s="1067"/>
      <c r="F139" s="1065" t="s">
        <v>247</v>
      </c>
      <c r="G139" s="1065" t="s">
        <v>328</v>
      </c>
      <c r="H139" s="1066" t="s">
        <v>329</v>
      </c>
      <c r="I139" s="1067"/>
      <c r="J139" s="1065" t="s">
        <v>247</v>
      </c>
      <c r="K139" s="1065" t="s">
        <v>328</v>
      </c>
      <c r="L139" s="1066" t="s">
        <v>329</v>
      </c>
      <c r="M139" s="1067"/>
      <c r="N139" s="1065" t="s">
        <v>247</v>
      </c>
      <c r="O139" s="591"/>
    </row>
    <row r="140" spans="1:17" s="464" customFormat="1" ht="27" customHeight="1">
      <c r="A140" s="1065"/>
      <c r="B140" s="1065"/>
      <c r="C140" s="1065"/>
      <c r="D140" s="563" t="s">
        <v>330</v>
      </c>
      <c r="E140" s="563" t="s">
        <v>331</v>
      </c>
      <c r="F140" s="1065"/>
      <c r="G140" s="1065"/>
      <c r="H140" s="563" t="s">
        <v>331</v>
      </c>
      <c r="I140" s="563" t="s">
        <v>332</v>
      </c>
      <c r="J140" s="1065"/>
      <c r="K140" s="1065"/>
      <c r="L140" s="1066" t="s">
        <v>333</v>
      </c>
      <c r="M140" s="1067"/>
      <c r="N140" s="1065"/>
      <c r="O140" s="591"/>
    </row>
    <row r="141" spans="1:17" s="464" customFormat="1" ht="15" customHeight="1">
      <c r="A141" s="563">
        <v>1</v>
      </c>
      <c r="B141" s="563" t="s">
        <v>334</v>
      </c>
      <c r="C141" s="531">
        <f t="shared" ref="C141:C171" si="7">F141/((D141+E141)/2)</f>
        <v>0</v>
      </c>
      <c r="D141" s="563">
        <v>1802.36</v>
      </c>
      <c r="E141" s="563">
        <v>1802.36</v>
      </c>
      <c r="F141" s="88"/>
      <c r="G141" s="531">
        <f t="shared" ref="G141:G171" si="8">J141/((H141+I141)/2)</f>
        <v>0</v>
      </c>
      <c r="H141" s="563">
        <v>1802.36</v>
      </c>
      <c r="I141" s="563">
        <v>1867.21</v>
      </c>
      <c r="J141" s="88"/>
      <c r="K141" s="531">
        <f t="shared" ref="K141:K171" si="9">N141/((L141+M141)/2)</f>
        <v>0</v>
      </c>
      <c r="L141" s="1066">
        <v>1867.21</v>
      </c>
      <c r="M141" s="1067"/>
      <c r="N141" s="88"/>
      <c r="O141" s="591"/>
    </row>
    <row r="142" spans="1:17" s="464" customFormat="1" ht="15" customHeight="1">
      <c r="A142" s="563">
        <v>2</v>
      </c>
      <c r="B142" s="563" t="s">
        <v>335</v>
      </c>
      <c r="C142" s="531">
        <f t="shared" si="7"/>
        <v>0</v>
      </c>
      <c r="D142" s="563">
        <v>6.29</v>
      </c>
      <c r="E142" s="563">
        <v>6.29</v>
      </c>
      <c r="F142" s="88"/>
      <c r="G142" s="531">
        <f t="shared" si="8"/>
        <v>0</v>
      </c>
      <c r="H142" s="563">
        <v>6.29</v>
      </c>
      <c r="I142" s="563">
        <v>6.29</v>
      </c>
      <c r="J142" s="88"/>
      <c r="K142" s="531">
        <f t="shared" si="9"/>
        <v>0</v>
      </c>
      <c r="L142" s="1066">
        <v>6.29</v>
      </c>
      <c r="M142" s="1067"/>
      <c r="N142" s="88"/>
      <c r="O142" s="591"/>
    </row>
    <row r="143" spans="1:17" s="464" customFormat="1" ht="25.5">
      <c r="A143" s="563">
        <v>3</v>
      </c>
      <c r="B143" s="563" t="s">
        <v>336</v>
      </c>
      <c r="C143" s="531">
        <f t="shared" si="7"/>
        <v>0</v>
      </c>
      <c r="D143" s="599">
        <v>1802.36</v>
      </c>
      <c r="E143" s="599">
        <v>1802.36</v>
      </c>
      <c r="F143" s="88"/>
      <c r="G143" s="531">
        <f t="shared" si="8"/>
        <v>0</v>
      </c>
      <c r="H143" s="563">
        <v>1802.36</v>
      </c>
      <c r="I143" s="563">
        <v>1867.21</v>
      </c>
      <c r="J143" s="88"/>
      <c r="K143" s="531">
        <f t="shared" si="9"/>
        <v>0</v>
      </c>
      <c r="L143" s="1066">
        <v>1867.21</v>
      </c>
      <c r="M143" s="1067"/>
      <c r="N143" s="88"/>
      <c r="O143" s="591"/>
    </row>
    <row r="144" spans="1:17" s="464" customFormat="1">
      <c r="A144" s="595"/>
      <c r="B144" s="596" t="s">
        <v>254</v>
      </c>
      <c r="C144" s="597" t="s">
        <v>25</v>
      </c>
      <c r="D144" s="597" t="s">
        <v>25</v>
      </c>
      <c r="E144" s="597" t="s">
        <v>25</v>
      </c>
      <c r="F144" s="88">
        <f>SUM(F141:F143)</f>
        <v>0</v>
      </c>
      <c r="G144" s="597" t="s">
        <v>25</v>
      </c>
      <c r="H144" s="597" t="s">
        <v>25</v>
      </c>
      <c r="I144" s="597" t="s">
        <v>25</v>
      </c>
      <c r="J144" s="88">
        <f>SUM(J141:J143)</f>
        <v>0</v>
      </c>
      <c r="K144" s="597" t="s">
        <v>25</v>
      </c>
      <c r="L144" s="597" t="s">
        <v>25</v>
      </c>
      <c r="M144" s="597" t="s">
        <v>25</v>
      </c>
      <c r="N144" s="88">
        <f>SUM(N141:N143)</f>
        <v>0</v>
      </c>
      <c r="O144" s="591"/>
    </row>
    <row r="145" spans="1:19" s="464" customFormat="1">
      <c r="A145" s="583"/>
      <c r="B145" s="600"/>
      <c r="C145" s="601"/>
      <c r="D145" s="601"/>
      <c r="E145" s="601"/>
      <c r="F145" s="536"/>
      <c r="G145" s="601"/>
      <c r="H145" s="601"/>
      <c r="I145" s="601"/>
      <c r="J145" s="536"/>
      <c r="K145" s="601"/>
      <c r="L145" s="601"/>
      <c r="M145" s="601"/>
      <c r="N145" s="536"/>
      <c r="O145" s="591"/>
    </row>
    <row r="146" spans="1:19" s="464" customFormat="1">
      <c r="A146" s="539" t="s">
        <v>235</v>
      </c>
      <c r="B146" s="540"/>
      <c r="C146" s="540"/>
      <c r="D146" s="540"/>
      <c r="E146" s="540"/>
      <c r="F146" s="602"/>
      <c r="G146" s="540"/>
      <c r="H146" s="540"/>
      <c r="I146" s="540"/>
      <c r="J146" s="602"/>
      <c r="K146" s="540"/>
      <c r="L146" s="540"/>
      <c r="M146" s="540"/>
      <c r="N146" s="602"/>
      <c r="O146" s="591"/>
    </row>
    <row r="147" spans="1:19" s="464" customFormat="1">
      <c r="A147" s="374" t="s">
        <v>236</v>
      </c>
      <c r="B147" s="538"/>
      <c r="C147" s="538"/>
      <c r="D147" s="538"/>
      <c r="E147" s="538"/>
      <c r="F147" s="603"/>
      <c r="G147" s="538"/>
      <c r="H147" s="538"/>
      <c r="I147" s="538"/>
      <c r="J147" s="603"/>
      <c r="K147" s="538"/>
      <c r="L147" s="538"/>
      <c r="M147" s="538"/>
      <c r="N147" s="603"/>
      <c r="O147" s="591"/>
    </row>
    <row r="148" spans="1:19" s="464" customFormat="1">
      <c r="A148" s="374" t="s">
        <v>237</v>
      </c>
      <c r="B148" s="538"/>
      <c r="C148" s="538"/>
      <c r="D148" s="538"/>
      <c r="E148" s="538"/>
      <c r="F148" s="603"/>
      <c r="G148" s="538"/>
      <c r="H148" s="538"/>
      <c r="I148" s="538"/>
      <c r="J148" s="603"/>
      <c r="K148" s="538"/>
      <c r="L148" s="538"/>
      <c r="M148" s="538"/>
      <c r="N148" s="603"/>
      <c r="O148" s="591"/>
    </row>
    <row r="149" spans="1:19" s="464" customFormat="1">
      <c r="A149" s="448" t="s">
        <v>337</v>
      </c>
      <c r="B149" s="604"/>
      <c r="C149" s="604"/>
      <c r="D149" s="604"/>
      <c r="E149" s="604"/>
      <c r="F149" s="605"/>
      <c r="G149" s="604"/>
      <c r="H149" s="604"/>
      <c r="I149" s="604"/>
      <c r="J149" s="605"/>
      <c r="K149" s="604"/>
      <c r="L149" s="604"/>
      <c r="M149" s="604"/>
      <c r="N149" s="605"/>
      <c r="O149" s="591"/>
    </row>
    <row r="150" spans="1:19" s="464" customFormat="1">
      <c r="A150" s="1068" t="s">
        <v>176</v>
      </c>
      <c r="B150" s="1068" t="s">
        <v>9</v>
      </c>
      <c r="C150" s="1066" t="s">
        <v>559</v>
      </c>
      <c r="D150" s="1069"/>
      <c r="E150" s="1069"/>
      <c r="F150" s="1067"/>
      <c r="G150" s="1066" t="s">
        <v>560</v>
      </c>
      <c r="H150" s="1069"/>
      <c r="I150" s="1069"/>
      <c r="J150" s="1067"/>
      <c r="K150" s="1066" t="s">
        <v>561</v>
      </c>
      <c r="L150" s="1069"/>
      <c r="M150" s="1069"/>
      <c r="N150" s="1067"/>
      <c r="O150" s="606"/>
    </row>
    <row r="151" spans="1:19" s="464" customFormat="1" ht="21" customHeight="1">
      <c r="A151" s="1065"/>
      <c r="B151" s="1065"/>
      <c r="C151" s="1068" t="s">
        <v>328</v>
      </c>
      <c r="D151" s="1066" t="s">
        <v>329</v>
      </c>
      <c r="E151" s="1067"/>
      <c r="F151" s="1068" t="s">
        <v>247</v>
      </c>
      <c r="G151" s="1068" t="s">
        <v>328</v>
      </c>
      <c r="H151" s="1066" t="s">
        <v>329</v>
      </c>
      <c r="I151" s="1067"/>
      <c r="J151" s="1068" t="s">
        <v>247</v>
      </c>
      <c r="K151" s="1068" t="s">
        <v>328</v>
      </c>
      <c r="L151" s="1066" t="s">
        <v>329</v>
      </c>
      <c r="M151" s="1067"/>
      <c r="N151" s="1068" t="s">
        <v>247</v>
      </c>
      <c r="O151" s="606"/>
    </row>
    <row r="152" spans="1:19" s="464" customFormat="1" ht="25.5">
      <c r="A152" s="1065"/>
      <c r="B152" s="1065"/>
      <c r="C152" s="1065"/>
      <c r="D152" s="563" t="s">
        <v>574</v>
      </c>
      <c r="E152" s="563" t="s">
        <v>575</v>
      </c>
      <c r="F152" s="1065"/>
      <c r="G152" s="1065"/>
      <c r="H152" s="563" t="s">
        <v>576</v>
      </c>
      <c r="I152" s="563" t="s">
        <v>577</v>
      </c>
      <c r="J152" s="1065"/>
      <c r="K152" s="1065"/>
      <c r="L152" s="563" t="s">
        <v>578</v>
      </c>
      <c r="M152" s="563" t="s">
        <v>579</v>
      </c>
      <c r="N152" s="1065"/>
      <c r="O152" s="606"/>
      <c r="Q152" s="478">
        <f>F160</f>
        <v>801570</v>
      </c>
      <c r="R152" s="478">
        <f>J160</f>
        <v>810098.39</v>
      </c>
      <c r="S152" s="478">
        <f>N160</f>
        <v>820430.14</v>
      </c>
    </row>
    <row r="153" spans="1:19" s="464" customFormat="1" ht="15" customHeight="1">
      <c r="A153" s="563">
        <v>1</v>
      </c>
      <c r="B153" s="607" t="s">
        <v>334</v>
      </c>
      <c r="C153" s="531">
        <f>F153/((D153+E153)/2)</f>
        <v>206.24</v>
      </c>
      <c r="D153" s="563">
        <v>1907.76</v>
      </c>
      <c r="E153" s="563">
        <v>1907.76</v>
      </c>
      <c r="F153" s="88">
        <f>216587.99+176864.74</f>
        <v>393452.73</v>
      </c>
      <c r="G153" s="531">
        <f>J153/((H153+I153)/2)</f>
        <v>200.95</v>
      </c>
      <c r="H153" s="563">
        <v>1907.76</v>
      </c>
      <c r="I153" s="563">
        <v>1976.42</v>
      </c>
      <c r="J153" s="88">
        <f>218616.21+171637.66</f>
        <v>390253.87</v>
      </c>
      <c r="K153" s="531">
        <f t="shared" ref="K153:K154" si="10">N153/((L153+M153)/2)</f>
        <v>197.17</v>
      </c>
      <c r="L153" s="563">
        <v>1976.42</v>
      </c>
      <c r="M153" s="563">
        <v>1976.42</v>
      </c>
      <c r="N153" s="88">
        <f>224382.96+165305.32</f>
        <v>389688.28</v>
      </c>
      <c r="O153" s="591"/>
      <c r="Q153" s="479">
        <f>F188</f>
        <v>118694</v>
      </c>
      <c r="R153" s="479">
        <f>J188</f>
        <v>121307.54</v>
      </c>
      <c r="S153" s="479">
        <f>N188</f>
        <v>124473.71</v>
      </c>
    </row>
    <row r="154" spans="1:19" s="464" customFormat="1" ht="15" customHeight="1">
      <c r="A154" s="563">
        <v>2</v>
      </c>
      <c r="B154" s="607" t="s">
        <v>335</v>
      </c>
      <c r="C154" s="530">
        <f>F154/((D154+E154)/2)</f>
        <v>50009.07</v>
      </c>
      <c r="D154" s="563">
        <v>6.64</v>
      </c>
      <c r="E154" s="563">
        <v>6.84</v>
      </c>
      <c r="F154" s="88">
        <v>337061.12</v>
      </c>
      <c r="G154" s="531">
        <f t="shared" ref="G154" si="11">J154/((H154+I154)/2)</f>
        <v>50009.73</v>
      </c>
      <c r="H154" s="563">
        <v>6.84</v>
      </c>
      <c r="I154" s="563">
        <v>7.05</v>
      </c>
      <c r="J154" s="88">
        <v>347317.57</v>
      </c>
      <c r="K154" s="531">
        <f t="shared" si="10"/>
        <v>50008.69</v>
      </c>
      <c r="L154" s="563">
        <v>7.05</v>
      </c>
      <c r="M154" s="563">
        <v>7.26</v>
      </c>
      <c r="N154" s="88">
        <v>357812.18</v>
      </c>
      <c r="O154" s="591"/>
      <c r="Q154" s="479">
        <f>SUM(Q152:Q153)</f>
        <v>920264</v>
      </c>
      <c r="R154" s="479">
        <f t="shared" ref="R154:S154" si="12">SUM(R152:R153)</f>
        <v>931405.93</v>
      </c>
      <c r="S154" s="479">
        <f t="shared" si="12"/>
        <v>944903.85</v>
      </c>
    </row>
    <row r="155" spans="1:19" s="464" customFormat="1" ht="25.5">
      <c r="A155" s="563">
        <v>3</v>
      </c>
      <c r="B155" s="607" t="s">
        <v>336</v>
      </c>
      <c r="C155" s="531"/>
      <c r="D155" s="599"/>
      <c r="E155" s="599"/>
      <c r="F155" s="88"/>
      <c r="G155" s="531"/>
      <c r="H155" s="563"/>
      <c r="I155" s="563"/>
      <c r="J155" s="88"/>
      <c r="K155" s="531"/>
      <c r="L155" s="563"/>
      <c r="M155" s="563"/>
      <c r="N155" s="88"/>
      <c r="O155" s="591"/>
      <c r="Q155" s="479"/>
    </row>
    <row r="156" spans="1:19" s="464" customFormat="1">
      <c r="A156" s="563">
        <v>3</v>
      </c>
      <c r="B156" s="607" t="s">
        <v>338</v>
      </c>
      <c r="C156" s="531">
        <f>F156/((D156+E156)/2)</f>
        <v>324.41000000000003</v>
      </c>
      <c r="D156" s="599">
        <v>49.57</v>
      </c>
      <c r="E156" s="599">
        <v>51.25</v>
      </c>
      <c r="F156" s="88">
        <v>16353.34</v>
      </c>
      <c r="G156" s="531">
        <f>J156/((H156+I156)/2)</f>
        <v>324.58999999999997</v>
      </c>
      <c r="H156" s="599">
        <v>51.25</v>
      </c>
      <c r="I156" s="599">
        <v>52.13</v>
      </c>
      <c r="J156" s="88">
        <v>16778.02</v>
      </c>
      <c r="K156" s="531">
        <f>N156/((L156+M156)/2)</f>
        <v>324.77999999999997</v>
      </c>
      <c r="L156" s="599">
        <v>52.13</v>
      </c>
      <c r="M156" s="599">
        <v>52.13</v>
      </c>
      <c r="N156" s="88">
        <v>16930.78</v>
      </c>
      <c r="O156" s="606"/>
      <c r="Q156" s="479"/>
    </row>
    <row r="157" spans="1:19" s="464" customFormat="1" ht="25.5">
      <c r="A157" s="563">
        <v>5</v>
      </c>
      <c r="B157" s="607" t="s">
        <v>339</v>
      </c>
      <c r="C157" s="531"/>
      <c r="D157" s="599"/>
      <c r="E157" s="599"/>
      <c r="F157" s="88"/>
      <c r="G157" s="531"/>
      <c r="H157" s="599"/>
      <c r="I157" s="599"/>
      <c r="J157" s="88"/>
      <c r="K157" s="531"/>
      <c r="L157" s="599"/>
      <c r="M157" s="599"/>
      <c r="N157" s="88"/>
      <c r="O157" s="606"/>
      <c r="Q157" s="479"/>
    </row>
    <row r="158" spans="1:19" s="464" customFormat="1">
      <c r="A158" s="563">
        <v>4</v>
      </c>
      <c r="B158" s="607" t="s">
        <v>340</v>
      </c>
      <c r="C158" s="531">
        <f>F158/((D158+E158)/2)</f>
        <v>324.52999999999997</v>
      </c>
      <c r="D158" s="599">
        <v>53.74</v>
      </c>
      <c r="E158" s="608">
        <v>54.94</v>
      </c>
      <c r="F158" s="284">
        <v>17635.11</v>
      </c>
      <c r="G158" s="609">
        <f>J158/((H158+I158)/2)</f>
        <v>324.49</v>
      </c>
      <c r="H158" s="608">
        <v>54.94</v>
      </c>
      <c r="I158" s="599">
        <v>56.38</v>
      </c>
      <c r="J158" s="88">
        <v>18061.13</v>
      </c>
      <c r="K158" s="531">
        <f>N158/((L158+M158)/2)</f>
        <v>324.77999999999997</v>
      </c>
      <c r="L158" s="608">
        <v>56.38</v>
      </c>
      <c r="M158" s="599">
        <v>56.38</v>
      </c>
      <c r="N158" s="88">
        <v>18311.099999999999</v>
      </c>
      <c r="O158" s="606"/>
      <c r="Q158" s="479"/>
    </row>
    <row r="159" spans="1:19" s="464" customFormat="1">
      <c r="A159" s="563">
        <v>5</v>
      </c>
      <c r="B159" s="607" t="s">
        <v>341</v>
      </c>
      <c r="C159" s="531">
        <v>37.93</v>
      </c>
      <c r="D159" s="599">
        <v>728.95</v>
      </c>
      <c r="E159" s="608">
        <v>753.76</v>
      </c>
      <c r="F159" s="284">
        <v>37067.699999999997</v>
      </c>
      <c r="G159" s="609">
        <f>J159/((H159+I159)/2)</f>
        <v>50.84</v>
      </c>
      <c r="H159" s="608">
        <v>728.95</v>
      </c>
      <c r="I159" s="599">
        <v>753.76</v>
      </c>
      <c r="J159" s="88">
        <v>37687.800000000003</v>
      </c>
      <c r="K159" s="531">
        <f>N159/((L159+M159)/2)</f>
        <v>50.84</v>
      </c>
      <c r="L159" s="608">
        <v>728.95</v>
      </c>
      <c r="M159" s="599">
        <v>753.76</v>
      </c>
      <c r="N159" s="88">
        <v>37687.800000000003</v>
      </c>
      <c r="O159" s="606"/>
      <c r="Q159" s="479"/>
    </row>
    <row r="160" spans="1:19" s="464" customFormat="1">
      <c r="A160" s="595"/>
      <c r="B160" s="610" t="s">
        <v>254</v>
      </c>
      <c r="C160" s="597" t="s">
        <v>25</v>
      </c>
      <c r="D160" s="597" t="s">
        <v>25</v>
      </c>
      <c r="E160" s="598" t="s">
        <v>25</v>
      </c>
      <c r="F160" s="284">
        <f>SUM(F153:F159)</f>
        <v>801570</v>
      </c>
      <c r="G160" s="598" t="s">
        <v>25</v>
      </c>
      <c r="H160" s="598" t="s">
        <v>25</v>
      </c>
      <c r="I160" s="597" t="s">
        <v>25</v>
      </c>
      <c r="J160" s="88">
        <f>SUM(J153:J159)</f>
        <v>810098.39</v>
      </c>
      <c r="K160" s="597" t="s">
        <v>25</v>
      </c>
      <c r="L160" s="598" t="s">
        <v>25</v>
      </c>
      <c r="M160" s="597" t="s">
        <v>25</v>
      </c>
      <c r="N160" s="88">
        <f>SUM(N153:N159)</f>
        <v>820430.14</v>
      </c>
      <c r="O160" s="606"/>
    </row>
    <row r="161" spans="1:19" s="464" customFormat="1" ht="15.75">
      <c r="A161" s="586"/>
      <c r="B161" s="538"/>
      <c r="C161" s="538"/>
      <c r="D161" s="538"/>
      <c r="E161" s="538"/>
      <c r="F161" s="538"/>
      <c r="G161" s="538"/>
      <c r="H161" s="538"/>
      <c r="I161" s="538"/>
      <c r="J161" s="538"/>
      <c r="K161" s="538"/>
      <c r="L161" s="538"/>
      <c r="M161" s="538"/>
      <c r="N161" s="538"/>
      <c r="O161" s="591"/>
      <c r="Q161" s="462" t="s">
        <v>495</v>
      </c>
    </row>
    <row r="162" spans="1:19" s="463" customFormat="1">
      <c r="A162" s="543" t="s">
        <v>240</v>
      </c>
      <c r="B162" s="544"/>
      <c r="C162" s="544"/>
      <c r="D162" s="544"/>
      <c r="E162" s="544"/>
      <c r="F162" s="544"/>
      <c r="G162" s="544"/>
      <c r="H162" s="544"/>
      <c r="I162" s="544"/>
      <c r="J162" s="544"/>
      <c r="K162" s="544"/>
      <c r="L162" s="544"/>
      <c r="M162" s="544"/>
      <c r="N162" s="544"/>
      <c r="O162" s="591"/>
    </row>
    <row r="163" spans="1:19" s="464" customFormat="1">
      <c r="A163" s="374" t="s">
        <v>241</v>
      </c>
      <c r="B163" s="538"/>
      <c r="C163" s="538"/>
      <c r="D163" s="538"/>
      <c r="E163" s="538"/>
      <c r="F163" s="538"/>
      <c r="G163" s="538"/>
      <c r="H163" s="538"/>
      <c r="I163" s="538"/>
      <c r="J163" s="538"/>
      <c r="K163" s="538"/>
      <c r="L163" s="538"/>
      <c r="M163" s="538"/>
      <c r="N163" s="538"/>
      <c r="O163" s="591"/>
    </row>
    <row r="164" spans="1:19" s="464" customFormat="1">
      <c r="A164" s="374" t="s">
        <v>242</v>
      </c>
      <c r="B164" s="538"/>
      <c r="C164" s="538"/>
      <c r="D164" s="538"/>
      <c r="E164" s="538"/>
      <c r="F164" s="538"/>
      <c r="G164" s="538"/>
      <c r="H164" s="538"/>
      <c r="I164" s="538"/>
      <c r="J164" s="538"/>
      <c r="K164" s="538"/>
      <c r="L164" s="538"/>
      <c r="M164" s="538"/>
      <c r="N164" s="538"/>
      <c r="O164" s="591"/>
    </row>
    <row r="165" spans="1:19" s="464" customFormat="1">
      <c r="A165" s="374" t="s">
        <v>580</v>
      </c>
      <c r="B165" s="538"/>
      <c r="C165" s="538"/>
      <c r="D165" s="538"/>
      <c r="E165" s="538"/>
      <c r="F165" s="538"/>
      <c r="G165" s="538"/>
      <c r="H165" s="538"/>
      <c r="I165" s="538"/>
      <c r="J165" s="538"/>
      <c r="K165" s="538"/>
      <c r="L165" s="538"/>
      <c r="M165" s="538"/>
      <c r="N165" s="538"/>
      <c r="O165" s="591"/>
    </row>
    <row r="166" spans="1:19" s="464" customFormat="1">
      <c r="A166" s="1065" t="s">
        <v>176</v>
      </c>
      <c r="B166" s="1065" t="s">
        <v>9</v>
      </c>
      <c r="C166" s="1065" t="s">
        <v>213</v>
      </c>
      <c r="D166" s="1065"/>
      <c r="E166" s="1065"/>
      <c r="F166" s="1065"/>
      <c r="G166" s="1065" t="s">
        <v>214</v>
      </c>
      <c r="H166" s="1065"/>
      <c r="I166" s="1065"/>
      <c r="J166" s="1065"/>
      <c r="K166" s="1065" t="s">
        <v>215</v>
      </c>
      <c r="L166" s="1065"/>
      <c r="M166" s="1065"/>
      <c r="N166" s="1065"/>
      <c r="O166" s="591"/>
    </row>
    <row r="167" spans="1:19" s="464" customFormat="1" ht="27" customHeight="1">
      <c r="A167" s="1065"/>
      <c r="B167" s="1065"/>
      <c r="C167" s="1065" t="s">
        <v>328</v>
      </c>
      <c r="D167" s="1066" t="s">
        <v>329</v>
      </c>
      <c r="E167" s="1067"/>
      <c r="F167" s="1065" t="s">
        <v>247</v>
      </c>
      <c r="G167" s="1065" t="s">
        <v>328</v>
      </c>
      <c r="H167" s="1066" t="s">
        <v>329</v>
      </c>
      <c r="I167" s="1067"/>
      <c r="J167" s="1065" t="s">
        <v>247</v>
      </c>
      <c r="K167" s="1065" t="s">
        <v>328</v>
      </c>
      <c r="L167" s="1066" t="s">
        <v>329</v>
      </c>
      <c r="M167" s="1067"/>
      <c r="N167" s="1065" t="s">
        <v>247</v>
      </c>
      <c r="O167" s="591"/>
    </row>
    <row r="168" spans="1:19" s="464" customFormat="1" ht="30.75" customHeight="1">
      <c r="A168" s="1065"/>
      <c r="B168" s="1065"/>
      <c r="C168" s="1065"/>
      <c r="D168" s="563" t="s">
        <v>342</v>
      </c>
      <c r="E168" s="563" t="s">
        <v>343</v>
      </c>
      <c r="F168" s="1065"/>
      <c r="G168" s="1065"/>
      <c r="H168" s="563" t="s">
        <v>343</v>
      </c>
      <c r="I168" s="563" t="s">
        <v>344</v>
      </c>
      <c r="J168" s="1065"/>
      <c r="K168" s="1065"/>
      <c r="L168" s="1066" t="s">
        <v>333</v>
      </c>
      <c r="M168" s="1067"/>
      <c r="N168" s="1065"/>
      <c r="O168" s="591"/>
    </row>
    <row r="169" spans="1:19" s="464" customFormat="1" ht="15.75" customHeight="1">
      <c r="A169" s="563">
        <v>1</v>
      </c>
      <c r="B169" s="563" t="s">
        <v>334</v>
      </c>
      <c r="C169" s="531">
        <f t="shared" si="7"/>
        <v>0</v>
      </c>
      <c r="D169" s="563">
        <v>1802.36</v>
      </c>
      <c r="E169" s="563">
        <v>1802.36</v>
      </c>
      <c r="F169" s="88"/>
      <c r="G169" s="531">
        <f t="shared" si="8"/>
        <v>0</v>
      </c>
      <c r="H169" s="563">
        <v>1802.36</v>
      </c>
      <c r="I169" s="563">
        <v>1867.21</v>
      </c>
      <c r="J169" s="88"/>
      <c r="K169" s="531">
        <f t="shared" si="9"/>
        <v>0</v>
      </c>
      <c r="L169" s="1066">
        <v>1867.21</v>
      </c>
      <c r="M169" s="1067"/>
      <c r="N169" s="88"/>
      <c r="O169" s="591"/>
      <c r="P169" s="479"/>
      <c r="Q169" s="479"/>
      <c r="R169" s="479"/>
      <c r="S169" s="479"/>
    </row>
    <row r="170" spans="1:19" s="464" customFormat="1" ht="15.75" customHeight="1">
      <c r="A170" s="563">
        <v>2</v>
      </c>
      <c r="B170" s="563" t="s">
        <v>335</v>
      </c>
      <c r="C170" s="531">
        <f t="shared" si="7"/>
        <v>0</v>
      </c>
      <c r="D170" s="563">
        <v>6.29</v>
      </c>
      <c r="E170" s="563">
        <v>6.29</v>
      </c>
      <c r="F170" s="88"/>
      <c r="G170" s="531">
        <f t="shared" si="8"/>
        <v>0</v>
      </c>
      <c r="H170" s="563">
        <v>6.29</v>
      </c>
      <c r="I170" s="563">
        <v>6.29</v>
      </c>
      <c r="J170" s="88"/>
      <c r="K170" s="531">
        <f t="shared" si="9"/>
        <v>0</v>
      </c>
      <c r="L170" s="1066">
        <v>6.29</v>
      </c>
      <c r="M170" s="1067"/>
      <c r="N170" s="88"/>
      <c r="O170" s="591"/>
    </row>
    <row r="171" spans="1:19" s="464" customFormat="1" ht="25.5">
      <c r="A171" s="563">
        <v>3</v>
      </c>
      <c r="B171" s="563" t="s">
        <v>336</v>
      </c>
      <c r="C171" s="531">
        <f t="shared" si="7"/>
        <v>0</v>
      </c>
      <c r="D171" s="599">
        <v>1802.36</v>
      </c>
      <c r="E171" s="599">
        <v>1802.36</v>
      </c>
      <c r="F171" s="88"/>
      <c r="G171" s="531">
        <f t="shared" si="8"/>
        <v>0</v>
      </c>
      <c r="H171" s="563">
        <v>1802.36</v>
      </c>
      <c r="I171" s="563">
        <v>1867.21</v>
      </c>
      <c r="J171" s="88"/>
      <c r="K171" s="531">
        <f t="shared" si="9"/>
        <v>0</v>
      </c>
      <c r="L171" s="1066">
        <v>1867.21</v>
      </c>
      <c r="M171" s="1067"/>
      <c r="N171" s="88"/>
      <c r="O171" s="591"/>
    </row>
    <row r="172" spans="1:19" s="464" customFormat="1">
      <c r="A172" s="595"/>
      <c r="B172" s="596" t="s">
        <v>254</v>
      </c>
      <c r="C172" s="597" t="s">
        <v>25</v>
      </c>
      <c r="D172" s="597" t="s">
        <v>25</v>
      </c>
      <c r="E172" s="597" t="s">
        <v>25</v>
      </c>
      <c r="F172" s="88">
        <f>ROUND(SUM(F169:F171),2)</f>
        <v>0</v>
      </c>
      <c r="G172" s="597" t="s">
        <v>25</v>
      </c>
      <c r="H172" s="597" t="s">
        <v>25</v>
      </c>
      <c r="I172" s="597" t="s">
        <v>25</v>
      </c>
      <c r="J172" s="88">
        <f>ROUND(SUM(J169:J171),2)</f>
        <v>0</v>
      </c>
      <c r="K172" s="597" t="s">
        <v>25</v>
      </c>
      <c r="L172" s="597" t="s">
        <v>25</v>
      </c>
      <c r="M172" s="597" t="s">
        <v>25</v>
      </c>
      <c r="N172" s="88">
        <f>ROUND(SUM(N169:N171),2)</f>
        <v>0</v>
      </c>
      <c r="O172" s="591"/>
    </row>
    <row r="173" spans="1:19" s="464" customFormat="1" ht="15.75">
      <c r="A173" s="586"/>
      <c r="B173" s="538"/>
      <c r="C173" s="538"/>
      <c r="D173" s="538"/>
      <c r="E173" s="538"/>
      <c r="F173" s="538"/>
      <c r="G173" s="538"/>
      <c r="H173" s="538"/>
      <c r="I173" s="538"/>
      <c r="J173" s="538"/>
      <c r="K173" s="538"/>
      <c r="L173" s="538"/>
      <c r="M173" s="538"/>
      <c r="N173" s="538"/>
      <c r="O173" s="591"/>
    </row>
    <row r="174" spans="1:19" s="464" customFormat="1">
      <c r="A174" s="543" t="s">
        <v>240</v>
      </c>
      <c r="B174" s="544"/>
      <c r="C174" s="544"/>
      <c r="D174" s="544"/>
      <c r="E174" s="544"/>
      <c r="F174" s="544"/>
      <c r="G174" s="544"/>
      <c r="H174" s="544"/>
      <c r="I174" s="544"/>
      <c r="J174" s="544"/>
      <c r="K174" s="544"/>
      <c r="L174" s="544"/>
      <c r="M174" s="544"/>
      <c r="N174" s="544"/>
      <c r="O174" s="591"/>
      <c r="P174" s="463"/>
      <c r="Q174" s="463"/>
      <c r="R174" s="463"/>
      <c r="S174" s="463"/>
    </row>
    <row r="175" spans="1:19" s="464" customFormat="1">
      <c r="A175" s="374" t="s">
        <v>241</v>
      </c>
      <c r="B175" s="538"/>
      <c r="C175" s="538"/>
      <c r="D175" s="538"/>
      <c r="E175" s="538"/>
      <c r="F175" s="538"/>
      <c r="G175" s="538"/>
      <c r="H175" s="538"/>
      <c r="I175" s="538"/>
      <c r="J175" s="538"/>
      <c r="K175" s="538"/>
      <c r="L175" s="538"/>
      <c r="M175" s="538"/>
      <c r="N175" s="538"/>
      <c r="O175" s="591"/>
    </row>
    <row r="176" spans="1:19" s="464" customFormat="1">
      <c r="A176" s="374" t="s">
        <v>242</v>
      </c>
      <c r="B176" s="538"/>
      <c r="C176" s="538"/>
      <c r="D176" s="538"/>
      <c r="E176" s="538"/>
      <c r="F176" s="538"/>
      <c r="G176" s="538"/>
      <c r="H176" s="538"/>
      <c r="I176" s="538"/>
      <c r="J176" s="538"/>
      <c r="K176" s="538"/>
      <c r="L176" s="538"/>
      <c r="M176" s="538"/>
      <c r="N176" s="538"/>
      <c r="O176" s="591"/>
    </row>
    <row r="177" spans="1:19" s="464" customFormat="1">
      <c r="A177" s="448" t="s">
        <v>337</v>
      </c>
      <c r="B177" s="604"/>
      <c r="C177" s="604"/>
      <c r="D177" s="604"/>
      <c r="E177" s="604"/>
      <c r="F177" s="604"/>
      <c r="G177" s="604"/>
      <c r="H177" s="604"/>
      <c r="I177" s="604"/>
      <c r="J177" s="604"/>
      <c r="K177" s="604"/>
      <c r="L177" s="604"/>
      <c r="M177" s="604"/>
      <c r="N177" s="604"/>
      <c r="O177" s="591"/>
    </row>
    <row r="178" spans="1:19" s="464" customFormat="1" ht="15" customHeight="1">
      <c r="A178" s="1068" t="s">
        <v>176</v>
      </c>
      <c r="B178" s="1068" t="s">
        <v>9</v>
      </c>
      <c r="C178" s="1066" t="s">
        <v>559</v>
      </c>
      <c r="D178" s="1069"/>
      <c r="E178" s="1069"/>
      <c r="F178" s="1067"/>
      <c r="G178" s="1066" t="s">
        <v>560</v>
      </c>
      <c r="H178" s="1069"/>
      <c r="I178" s="1069"/>
      <c r="J178" s="1067"/>
      <c r="K178" s="1066" t="s">
        <v>561</v>
      </c>
      <c r="L178" s="1069"/>
      <c r="M178" s="1069"/>
      <c r="N178" s="1067"/>
      <c r="O178" s="606"/>
    </row>
    <row r="179" spans="1:19" s="464" customFormat="1" ht="23.25" customHeight="1">
      <c r="A179" s="1065"/>
      <c r="B179" s="1065"/>
      <c r="C179" s="1068" t="s">
        <v>328</v>
      </c>
      <c r="D179" s="1066" t="s">
        <v>329</v>
      </c>
      <c r="E179" s="1067"/>
      <c r="F179" s="1068" t="s">
        <v>247</v>
      </c>
      <c r="G179" s="1068" t="s">
        <v>328</v>
      </c>
      <c r="H179" s="1066" t="s">
        <v>329</v>
      </c>
      <c r="I179" s="1067"/>
      <c r="J179" s="1068" t="s">
        <v>247</v>
      </c>
      <c r="K179" s="1068" t="s">
        <v>328</v>
      </c>
      <c r="L179" s="1066" t="s">
        <v>329</v>
      </c>
      <c r="M179" s="1067"/>
      <c r="N179" s="1068" t="s">
        <v>247</v>
      </c>
      <c r="O179" s="606"/>
    </row>
    <row r="180" spans="1:19" s="464" customFormat="1" ht="25.5">
      <c r="A180" s="1065"/>
      <c r="B180" s="1065"/>
      <c r="C180" s="1065"/>
      <c r="D180" s="563" t="s">
        <v>574</v>
      </c>
      <c r="E180" s="563" t="s">
        <v>575</v>
      </c>
      <c r="F180" s="1065"/>
      <c r="G180" s="1065"/>
      <c r="H180" s="563" t="s">
        <v>576</v>
      </c>
      <c r="I180" s="563" t="s">
        <v>577</v>
      </c>
      <c r="J180" s="1065"/>
      <c r="K180" s="1065"/>
      <c r="L180" s="563" t="s">
        <v>578</v>
      </c>
      <c r="M180" s="563" t="s">
        <v>579</v>
      </c>
      <c r="N180" s="1065"/>
      <c r="O180" s="606"/>
    </row>
    <row r="181" spans="1:19" s="464" customFormat="1" ht="15.75" customHeight="1">
      <c r="A181" s="563">
        <v>1</v>
      </c>
      <c r="B181" s="607" t="s">
        <v>334</v>
      </c>
      <c r="C181" s="531">
        <f>F181/((D181+E181)/2)</f>
        <v>62.22</v>
      </c>
      <c r="D181" s="563">
        <v>1907.76</v>
      </c>
      <c r="E181" s="563">
        <v>1907.76</v>
      </c>
      <c r="F181" s="88">
        <v>118694</v>
      </c>
      <c r="G181" s="531">
        <f>J181/((H181+I181)/2)</f>
        <v>62.46</v>
      </c>
      <c r="H181" s="563">
        <v>1907.76</v>
      </c>
      <c r="I181" s="563">
        <v>1976.42</v>
      </c>
      <c r="J181" s="88">
        <v>121307.54</v>
      </c>
      <c r="K181" s="531">
        <f>N181/((L181+M181)/2)</f>
        <v>62.98</v>
      </c>
      <c r="L181" s="563">
        <v>1976.42</v>
      </c>
      <c r="M181" s="563">
        <v>1976.42</v>
      </c>
      <c r="N181" s="88">
        <v>124473.71</v>
      </c>
      <c r="O181" s="591"/>
      <c r="P181" s="479"/>
      <c r="Q181" s="479"/>
      <c r="R181" s="479"/>
      <c r="S181" s="479"/>
    </row>
    <row r="182" spans="1:19" s="464" customFormat="1" ht="15.75" customHeight="1">
      <c r="A182" s="563">
        <v>2</v>
      </c>
      <c r="B182" s="607" t="s">
        <v>335</v>
      </c>
      <c r="C182" s="531">
        <v>0</v>
      </c>
      <c r="D182" s="563">
        <v>6.64</v>
      </c>
      <c r="E182" s="563">
        <v>6.84</v>
      </c>
      <c r="F182" s="88">
        <v>0</v>
      </c>
      <c r="G182" s="531">
        <v>0</v>
      </c>
      <c r="H182" s="563">
        <v>6.84</v>
      </c>
      <c r="I182" s="563">
        <v>7.05</v>
      </c>
      <c r="J182" s="88">
        <v>0</v>
      </c>
      <c r="K182" s="531">
        <v>0</v>
      </c>
      <c r="L182" s="563">
        <v>7.05</v>
      </c>
      <c r="M182" s="563">
        <v>7.26</v>
      </c>
      <c r="N182" s="88">
        <v>0</v>
      </c>
      <c r="O182" s="591"/>
    </row>
    <row r="183" spans="1:19" s="464" customFormat="1" ht="25.5">
      <c r="A183" s="563">
        <v>3</v>
      </c>
      <c r="B183" s="607" t="s">
        <v>336</v>
      </c>
      <c r="C183" s="531"/>
      <c r="D183" s="599"/>
      <c r="E183" s="599"/>
      <c r="F183" s="88">
        <v>0</v>
      </c>
      <c r="G183" s="531"/>
      <c r="H183" s="563"/>
      <c r="I183" s="563"/>
      <c r="J183" s="88">
        <v>0</v>
      </c>
      <c r="K183" s="531"/>
      <c r="L183" s="563"/>
      <c r="M183" s="563"/>
      <c r="N183" s="88">
        <v>0</v>
      </c>
      <c r="O183" s="591"/>
    </row>
    <row r="184" spans="1:19" s="464" customFormat="1">
      <c r="A184" s="563">
        <v>3</v>
      </c>
      <c r="B184" s="607" t="s">
        <v>338</v>
      </c>
      <c r="C184" s="531">
        <v>0</v>
      </c>
      <c r="D184" s="599">
        <v>49.57</v>
      </c>
      <c r="E184" s="599">
        <v>51.25</v>
      </c>
      <c r="F184" s="88">
        <v>0</v>
      </c>
      <c r="G184" s="531">
        <v>0</v>
      </c>
      <c r="H184" s="599">
        <v>51.25</v>
      </c>
      <c r="I184" s="599">
        <v>52.13</v>
      </c>
      <c r="J184" s="88">
        <v>0</v>
      </c>
      <c r="K184" s="531">
        <v>0</v>
      </c>
      <c r="L184" s="599">
        <v>52.13</v>
      </c>
      <c r="M184" s="599">
        <v>52.13</v>
      </c>
      <c r="N184" s="88">
        <v>0</v>
      </c>
      <c r="O184" s="606"/>
    </row>
    <row r="185" spans="1:19" s="464" customFormat="1" ht="25.5">
      <c r="A185" s="563">
        <v>5</v>
      </c>
      <c r="B185" s="607" t="s">
        <v>339</v>
      </c>
      <c r="C185" s="531"/>
      <c r="D185" s="599"/>
      <c r="E185" s="599"/>
      <c r="F185" s="88"/>
      <c r="G185" s="531"/>
      <c r="H185" s="599"/>
      <c r="I185" s="599"/>
      <c r="J185" s="88"/>
      <c r="K185" s="531"/>
      <c r="L185" s="599"/>
      <c r="M185" s="599"/>
      <c r="N185" s="88"/>
      <c r="O185" s="606"/>
    </row>
    <row r="186" spans="1:19" s="464" customFormat="1">
      <c r="A186" s="563">
        <v>4</v>
      </c>
      <c r="B186" s="607" t="s">
        <v>340</v>
      </c>
      <c r="C186" s="531">
        <v>0</v>
      </c>
      <c r="D186" s="599">
        <v>53.74</v>
      </c>
      <c r="E186" s="599">
        <v>54.94</v>
      </c>
      <c r="F186" s="88">
        <v>0</v>
      </c>
      <c r="G186" s="531">
        <v>0</v>
      </c>
      <c r="H186" s="599">
        <v>54.94</v>
      </c>
      <c r="I186" s="599">
        <v>56.38</v>
      </c>
      <c r="J186" s="88">
        <v>0</v>
      </c>
      <c r="K186" s="531">
        <v>0</v>
      </c>
      <c r="L186" s="608">
        <v>56.38</v>
      </c>
      <c r="M186" s="599">
        <v>56.38</v>
      </c>
      <c r="N186" s="88">
        <v>0</v>
      </c>
      <c r="O186" s="606"/>
    </row>
    <row r="187" spans="1:19" s="464" customFormat="1">
      <c r="A187" s="563">
        <v>5</v>
      </c>
      <c r="B187" s="607" t="s">
        <v>341</v>
      </c>
      <c r="C187" s="531">
        <v>0</v>
      </c>
      <c r="D187" s="599">
        <v>728.95</v>
      </c>
      <c r="E187" s="599">
        <v>753.76</v>
      </c>
      <c r="F187" s="88">
        <v>0</v>
      </c>
      <c r="G187" s="531">
        <v>0</v>
      </c>
      <c r="H187" s="599">
        <v>728.95</v>
      </c>
      <c r="I187" s="599">
        <v>753.76</v>
      </c>
      <c r="J187" s="88">
        <v>0</v>
      </c>
      <c r="K187" s="531">
        <v>0</v>
      </c>
      <c r="L187" s="608">
        <v>728.95</v>
      </c>
      <c r="M187" s="599">
        <v>753.76</v>
      </c>
      <c r="N187" s="88">
        <v>0</v>
      </c>
      <c r="O187" s="606"/>
    </row>
    <row r="188" spans="1:19" s="464" customFormat="1">
      <c r="A188" s="595"/>
      <c r="B188" s="610" t="s">
        <v>254</v>
      </c>
      <c r="C188" s="597" t="s">
        <v>25</v>
      </c>
      <c r="D188" s="597" t="s">
        <v>25</v>
      </c>
      <c r="E188" s="597" t="s">
        <v>25</v>
      </c>
      <c r="F188" s="88">
        <f>ROUND(SUM(F181:F187),2)</f>
        <v>118694</v>
      </c>
      <c r="G188" s="597" t="s">
        <v>25</v>
      </c>
      <c r="H188" s="597" t="s">
        <v>25</v>
      </c>
      <c r="I188" s="597" t="s">
        <v>25</v>
      </c>
      <c r="J188" s="88">
        <f>ROUND(SUM(J181:J187),2)</f>
        <v>121307.54</v>
      </c>
      <c r="K188" s="597" t="s">
        <v>25</v>
      </c>
      <c r="L188" s="598" t="s">
        <v>25</v>
      </c>
      <c r="M188" s="597" t="s">
        <v>25</v>
      </c>
      <c r="N188" s="88">
        <f>ROUND(SUM(N181:N187),2)</f>
        <v>124473.71</v>
      </c>
      <c r="O188" s="606"/>
    </row>
    <row r="189" spans="1:19" ht="15.75">
      <c r="A189" s="586"/>
      <c r="B189" s="538"/>
      <c r="C189" s="538"/>
      <c r="D189" s="538"/>
      <c r="E189" s="538"/>
      <c r="F189" s="538"/>
      <c r="G189" s="538"/>
      <c r="H189" s="538"/>
      <c r="I189" s="538"/>
      <c r="J189" s="538"/>
      <c r="K189" s="538"/>
      <c r="L189" s="538"/>
      <c r="M189" s="538"/>
      <c r="N189" s="538"/>
      <c r="O189" s="591"/>
    </row>
    <row r="190" spans="1:19">
      <c r="A190" s="538"/>
      <c r="B190" s="538"/>
      <c r="C190" s="538"/>
      <c r="D190" s="538"/>
      <c r="E190" s="538"/>
      <c r="F190" s="538"/>
      <c r="G190" s="538"/>
      <c r="H190" s="538"/>
      <c r="I190" s="538"/>
      <c r="J190" s="538"/>
      <c r="K190" s="538"/>
      <c r="L190" s="538"/>
      <c r="M190" s="538"/>
      <c r="N190" s="538"/>
      <c r="O190" s="591"/>
    </row>
    <row r="191" spans="1:19">
      <c r="A191" s="611" t="s">
        <v>240</v>
      </c>
      <c r="B191" s="611"/>
      <c r="C191" s="611"/>
      <c r="D191" s="611"/>
      <c r="E191" s="611"/>
      <c r="F191" s="611"/>
      <c r="G191" s="611"/>
      <c r="H191" s="611"/>
      <c r="I191" s="611"/>
      <c r="J191" s="611"/>
      <c r="K191" s="611"/>
      <c r="L191" s="611"/>
      <c r="M191" s="538"/>
      <c r="N191" s="538"/>
      <c r="O191" s="591"/>
    </row>
    <row r="192" spans="1:19">
      <c r="A192" s="374" t="s">
        <v>241</v>
      </c>
      <c r="B192" s="374"/>
      <c r="C192" s="374"/>
      <c r="D192" s="374"/>
      <c r="E192" s="374"/>
      <c r="F192" s="374"/>
      <c r="G192" s="374"/>
      <c r="H192" s="374"/>
      <c r="I192" s="374"/>
      <c r="J192" s="374"/>
      <c r="K192" s="374"/>
      <c r="L192" s="374"/>
      <c r="M192" s="538"/>
      <c r="N192" s="538"/>
      <c r="O192" s="538"/>
    </row>
    <row r="193" spans="1:15">
      <c r="A193" s="374" t="s">
        <v>242</v>
      </c>
      <c r="B193" s="374"/>
      <c r="C193" s="374"/>
      <c r="D193" s="374"/>
      <c r="E193" s="374"/>
      <c r="F193" s="374"/>
      <c r="G193" s="374"/>
      <c r="H193" s="374"/>
      <c r="I193" s="374"/>
      <c r="J193" s="374"/>
      <c r="K193" s="374"/>
      <c r="L193" s="374"/>
      <c r="M193" s="538"/>
      <c r="N193" s="538"/>
      <c r="O193" s="538"/>
    </row>
    <row r="194" spans="1:15">
      <c r="A194" s="583" t="s">
        <v>462</v>
      </c>
      <c r="B194" s="374"/>
      <c r="C194" s="374"/>
      <c r="D194" s="374"/>
      <c r="E194" s="374"/>
      <c r="F194" s="374"/>
      <c r="G194" s="374"/>
      <c r="H194" s="374"/>
      <c r="I194" s="374"/>
      <c r="J194" s="374"/>
      <c r="K194" s="374"/>
      <c r="L194" s="374"/>
      <c r="M194" s="538"/>
      <c r="N194" s="538"/>
      <c r="O194" s="538"/>
    </row>
    <row r="195" spans="1:15" ht="35.25" customHeight="1">
      <c r="A195" s="1065" t="s">
        <v>176</v>
      </c>
      <c r="B195" s="1065" t="s">
        <v>244</v>
      </c>
      <c r="C195" s="1065" t="s">
        <v>440</v>
      </c>
      <c r="D195" s="1065" t="s">
        <v>213</v>
      </c>
      <c r="E195" s="1065"/>
      <c r="F195" s="1065"/>
      <c r="G195" s="1065" t="s">
        <v>214</v>
      </c>
      <c r="H195" s="1065"/>
      <c r="I195" s="1065"/>
      <c r="J195" s="1065" t="s">
        <v>215</v>
      </c>
      <c r="K195" s="1065"/>
      <c r="L195" s="1065"/>
      <c r="M195" s="538"/>
      <c r="N195" s="538"/>
      <c r="O195" s="538"/>
    </row>
    <row r="196" spans="1:15">
      <c r="A196" s="1065"/>
      <c r="B196" s="1065"/>
      <c r="C196" s="1065"/>
      <c r="D196" s="1065" t="s">
        <v>419</v>
      </c>
      <c r="E196" s="1065" t="s">
        <v>307</v>
      </c>
      <c r="F196" s="1065" t="s">
        <v>247</v>
      </c>
      <c r="G196" s="1065" t="s">
        <v>419</v>
      </c>
      <c r="H196" s="563" t="s">
        <v>366</v>
      </c>
      <c r="I196" s="1065" t="s">
        <v>247</v>
      </c>
      <c r="J196" s="1065" t="s">
        <v>419</v>
      </c>
      <c r="K196" s="563" t="s">
        <v>366</v>
      </c>
      <c r="L196" s="1065" t="s">
        <v>247</v>
      </c>
      <c r="M196" s="538"/>
      <c r="N196" s="538"/>
      <c r="O196" s="538"/>
    </row>
    <row r="197" spans="1:15">
      <c r="A197" s="1065"/>
      <c r="B197" s="1065"/>
      <c r="C197" s="1065"/>
      <c r="D197" s="1065"/>
      <c r="E197" s="1065"/>
      <c r="F197" s="1065"/>
      <c r="G197" s="1065"/>
      <c r="H197" s="563" t="s">
        <v>434</v>
      </c>
      <c r="I197" s="1065"/>
      <c r="J197" s="1065"/>
      <c r="K197" s="563" t="s">
        <v>434</v>
      </c>
      <c r="L197" s="1065"/>
      <c r="M197" s="538"/>
      <c r="N197" s="538"/>
      <c r="O197" s="538"/>
    </row>
    <row r="198" spans="1:15" ht="25.5">
      <c r="A198" s="563">
        <v>1</v>
      </c>
      <c r="B198" s="607" t="s">
        <v>653</v>
      </c>
      <c r="C198" s="612" t="s">
        <v>465</v>
      </c>
      <c r="D198" s="612">
        <v>30</v>
      </c>
      <c r="E198" s="613">
        <f t="shared" ref="E198" si="13">F198/D198</f>
        <v>9800</v>
      </c>
      <c r="F198" s="613">
        <v>294000</v>
      </c>
      <c r="G198" s="614">
        <v>0</v>
      </c>
      <c r="H198" s="614">
        <v>0</v>
      </c>
      <c r="I198" s="614">
        <v>0</v>
      </c>
      <c r="J198" s="614">
        <v>0</v>
      </c>
      <c r="K198" s="614">
        <v>0</v>
      </c>
      <c r="L198" s="614">
        <v>0</v>
      </c>
      <c r="M198" s="538"/>
      <c r="N198" s="538"/>
      <c r="O198" s="538"/>
    </row>
    <row r="199" spans="1:15">
      <c r="A199" s="615"/>
      <c r="B199" s="616" t="s">
        <v>254</v>
      </c>
      <c r="C199" s="615"/>
      <c r="D199" s="617">
        <f>SUM(D197:D198)</f>
        <v>30</v>
      </c>
      <c r="E199" s="612" t="s">
        <v>25</v>
      </c>
      <c r="F199" s="613">
        <f>SUM(F196:F198)</f>
        <v>294000</v>
      </c>
      <c r="G199" s="612" t="s">
        <v>25</v>
      </c>
      <c r="H199" s="612" t="s">
        <v>25</v>
      </c>
      <c r="I199" s="612" t="s">
        <v>25</v>
      </c>
      <c r="J199" s="612" t="s">
        <v>25</v>
      </c>
      <c r="K199" s="612" t="s">
        <v>25</v>
      </c>
      <c r="L199" s="612" t="s">
        <v>25</v>
      </c>
      <c r="M199" s="538"/>
      <c r="N199" s="538"/>
      <c r="O199" s="538"/>
    </row>
    <row r="200" spans="1:15">
      <c r="A200" s="538"/>
      <c r="B200" s="538"/>
      <c r="C200" s="538"/>
      <c r="D200" s="538"/>
      <c r="E200" s="538"/>
      <c r="F200" s="538"/>
      <c r="G200" s="538"/>
      <c r="H200" s="538"/>
      <c r="I200" s="538"/>
      <c r="J200" s="538"/>
      <c r="K200" s="538"/>
      <c r="L200" s="538"/>
      <c r="M200" s="538"/>
      <c r="N200" s="538"/>
      <c r="O200" s="538"/>
    </row>
    <row r="201" spans="1:15">
      <c r="A201" s="538"/>
      <c r="B201" s="538"/>
      <c r="C201" s="538"/>
      <c r="D201" s="538"/>
      <c r="E201" s="538"/>
      <c r="F201" s="538"/>
      <c r="G201" s="538"/>
      <c r="H201" s="538"/>
      <c r="I201" s="538"/>
      <c r="J201" s="538"/>
      <c r="K201" s="538"/>
      <c r="L201" s="538"/>
      <c r="M201" s="538"/>
      <c r="N201" s="538"/>
      <c r="O201" s="538"/>
    </row>
    <row r="202" spans="1:15">
      <c r="A202" s="538"/>
      <c r="B202" s="538"/>
      <c r="C202" s="538"/>
      <c r="D202" s="538"/>
      <c r="E202" s="538"/>
      <c r="F202" s="538"/>
      <c r="G202" s="538"/>
      <c r="H202" s="538"/>
      <c r="I202" s="538"/>
      <c r="J202" s="538"/>
      <c r="K202" s="538"/>
      <c r="L202" s="538"/>
      <c r="M202" s="538"/>
      <c r="N202" s="538"/>
      <c r="O202" s="538"/>
    </row>
    <row r="273" spans="6:7">
      <c r="F273" s="11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174</f>
        <v>#REF!</v>
      </c>
      <c r="G273" s="112"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267">
    <mergeCell ref="D54:E54"/>
    <mergeCell ref="H54:I54"/>
    <mergeCell ref="L54:M54"/>
    <mergeCell ref="D53:E53"/>
    <mergeCell ref="H53:I53"/>
    <mergeCell ref="L53:M53"/>
    <mergeCell ref="A6:A8"/>
    <mergeCell ref="B6:B8"/>
    <mergeCell ref="C6:F6"/>
    <mergeCell ref="G6:J6"/>
    <mergeCell ref="K6:N6"/>
    <mergeCell ref="C7:C8"/>
    <mergeCell ref="D7:E8"/>
    <mergeCell ref="F7:F8"/>
    <mergeCell ref="G7:G8"/>
    <mergeCell ref="H7:I8"/>
    <mergeCell ref="J7:J8"/>
    <mergeCell ref="K7:K8"/>
    <mergeCell ref="L7:M8"/>
    <mergeCell ref="N7:N8"/>
    <mergeCell ref="D9:E9"/>
    <mergeCell ref="H9:I9"/>
    <mergeCell ref="L9:M9"/>
    <mergeCell ref="D10:E10"/>
    <mergeCell ref="H10:I10"/>
    <mergeCell ref="L10:M10"/>
    <mergeCell ref="D11:E11"/>
    <mergeCell ref="H11:I11"/>
    <mergeCell ref="L11:M11"/>
    <mergeCell ref="D12:E12"/>
    <mergeCell ref="H12:I12"/>
    <mergeCell ref="L12:M12"/>
    <mergeCell ref="D13:E13"/>
    <mergeCell ref="H13:I13"/>
    <mergeCell ref="L13:M13"/>
    <mergeCell ref="A17:A19"/>
    <mergeCell ref="B17:B19"/>
    <mergeCell ref="C17:F17"/>
    <mergeCell ref="G17:J17"/>
    <mergeCell ref="K17:N17"/>
    <mergeCell ref="C18:C19"/>
    <mergeCell ref="D18:D19"/>
    <mergeCell ref="F18:F19"/>
    <mergeCell ref="G18:G19"/>
    <mergeCell ref="H18:H19"/>
    <mergeCell ref="J18:J19"/>
    <mergeCell ref="K18:K19"/>
    <mergeCell ref="L18:L19"/>
    <mergeCell ref="N18:N19"/>
    <mergeCell ref="A27:A28"/>
    <mergeCell ref="B27:B28"/>
    <mergeCell ref="C27:G27"/>
    <mergeCell ref="H27:L27"/>
    <mergeCell ref="N27:O27"/>
    <mergeCell ref="A37:A38"/>
    <mergeCell ref="B37:B38"/>
    <mergeCell ref="C37:F37"/>
    <mergeCell ref="G37:J37"/>
    <mergeCell ref="K37:N37"/>
    <mergeCell ref="D38:E38"/>
    <mergeCell ref="H38:I38"/>
    <mergeCell ref="L38:M38"/>
    <mergeCell ref="D39:E39"/>
    <mergeCell ref="H39:I39"/>
    <mergeCell ref="L39:M39"/>
    <mergeCell ref="D40:E40"/>
    <mergeCell ref="H40:I40"/>
    <mergeCell ref="L40:M40"/>
    <mergeCell ref="D41:E41"/>
    <mergeCell ref="H41:I41"/>
    <mergeCell ref="L41:M41"/>
    <mergeCell ref="D42:E42"/>
    <mergeCell ref="H42:I42"/>
    <mergeCell ref="L42:M42"/>
    <mergeCell ref="D43:E43"/>
    <mergeCell ref="H43:I43"/>
    <mergeCell ref="L43:M43"/>
    <mergeCell ref="D44:E44"/>
    <mergeCell ref="H44:I44"/>
    <mergeCell ref="L44:M44"/>
    <mergeCell ref="A50:A51"/>
    <mergeCell ref="B50:B51"/>
    <mergeCell ref="C50:F50"/>
    <mergeCell ref="G50:J50"/>
    <mergeCell ref="K50:N50"/>
    <mergeCell ref="D51:E51"/>
    <mergeCell ref="H51:I51"/>
    <mergeCell ref="L51:M51"/>
    <mergeCell ref="D52:E52"/>
    <mergeCell ref="H52:I52"/>
    <mergeCell ref="L52:M52"/>
    <mergeCell ref="D57:E57"/>
    <mergeCell ref="H57:I57"/>
    <mergeCell ref="L57:M57"/>
    <mergeCell ref="A62:A64"/>
    <mergeCell ref="B62:B64"/>
    <mergeCell ref="C62:D62"/>
    <mergeCell ref="F62:G62"/>
    <mergeCell ref="H62:J62"/>
    <mergeCell ref="C63:C64"/>
    <mergeCell ref="F63:F64"/>
    <mergeCell ref="H63:H64"/>
    <mergeCell ref="A76:A79"/>
    <mergeCell ref="B76:B79"/>
    <mergeCell ref="C76:C79"/>
    <mergeCell ref="D76:G76"/>
    <mergeCell ref="H76:K76"/>
    <mergeCell ref="L76:O76"/>
    <mergeCell ref="D77:D79"/>
    <mergeCell ref="E77:E79"/>
    <mergeCell ref="F77:F79"/>
    <mergeCell ref="G77:G79"/>
    <mergeCell ref="H77:H79"/>
    <mergeCell ref="I77:I79"/>
    <mergeCell ref="J77:J79"/>
    <mergeCell ref="K77:K79"/>
    <mergeCell ref="L77:L79"/>
    <mergeCell ref="M77:M79"/>
    <mergeCell ref="N77:N79"/>
    <mergeCell ref="O77:O79"/>
    <mergeCell ref="D96:D98"/>
    <mergeCell ref="E96:E98"/>
    <mergeCell ref="F96:F98"/>
    <mergeCell ref="G96:G98"/>
    <mergeCell ref="H96:H98"/>
    <mergeCell ref="I96:I98"/>
    <mergeCell ref="J96:J98"/>
    <mergeCell ref="K96:K98"/>
    <mergeCell ref="L96:L98"/>
    <mergeCell ref="B83:B84"/>
    <mergeCell ref="C83:C84"/>
    <mergeCell ref="A85:A86"/>
    <mergeCell ref="B85:B86"/>
    <mergeCell ref="C85:C86"/>
    <mergeCell ref="B87:B88"/>
    <mergeCell ref="A95:A98"/>
    <mergeCell ref="B95:B98"/>
    <mergeCell ref="C95:C98"/>
    <mergeCell ref="B102:B103"/>
    <mergeCell ref="C102:C103"/>
    <mergeCell ref="A104:A105"/>
    <mergeCell ref="B104:B105"/>
    <mergeCell ref="C104:C105"/>
    <mergeCell ref="B106:B107"/>
    <mergeCell ref="A116:A117"/>
    <mergeCell ref="B116:B117"/>
    <mergeCell ref="C116:F116"/>
    <mergeCell ref="A126:A127"/>
    <mergeCell ref="B126:B127"/>
    <mergeCell ref="C126:F126"/>
    <mergeCell ref="G126:J126"/>
    <mergeCell ref="K126:N126"/>
    <mergeCell ref="D127:E127"/>
    <mergeCell ref="H127:I127"/>
    <mergeCell ref="L127:M127"/>
    <mergeCell ref="G116:J116"/>
    <mergeCell ref="K116:N116"/>
    <mergeCell ref="D117:E117"/>
    <mergeCell ref="H117:I117"/>
    <mergeCell ref="L117:M117"/>
    <mergeCell ref="D118:E118"/>
    <mergeCell ref="H118:I118"/>
    <mergeCell ref="L118:M118"/>
    <mergeCell ref="D119:E119"/>
    <mergeCell ref="H119:I119"/>
    <mergeCell ref="L119:M119"/>
    <mergeCell ref="A138:A140"/>
    <mergeCell ref="B138:B140"/>
    <mergeCell ref="C138:F138"/>
    <mergeCell ref="G138:J138"/>
    <mergeCell ref="K138:N138"/>
    <mergeCell ref="C139:C140"/>
    <mergeCell ref="D139:E139"/>
    <mergeCell ref="F139:F140"/>
    <mergeCell ref="G139:G140"/>
    <mergeCell ref="H139:I139"/>
    <mergeCell ref="J139:J140"/>
    <mergeCell ref="K139:K140"/>
    <mergeCell ref="L139:M139"/>
    <mergeCell ref="N139:N140"/>
    <mergeCell ref="L140:M140"/>
    <mergeCell ref="A150:A152"/>
    <mergeCell ref="B150:B152"/>
    <mergeCell ref="C150:F150"/>
    <mergeCell ref="G150:J150"/>
    <mergeCell ref="K150:N150"/>
    <mergeCell ref="C151:C152"/>
    <mergeCell ref="D151:E151"/>
    <mergeCell ref="F151:F152"/>
    <mergeCell ref="G151:G152"/>
    <mergeCell ref="H151:I151"/>
    <mergeCell ref="J151:J152"/>
    <mergeCell ref="K151:K152"/>
    <mergeCell ref="L151:M151"/>
    <mergeCell ref="N151:N152"/>
    <mergeCell ref="A166:A168"/>
    <mergeCell ref="B166:B168"/>
    <mergeCell ref="C166:F166"/>
    <mergeCell ref="G166:J166"/>
    <mergeCell ref="K166:N166"/>
    <mergeCell ref="C167:C168"/>
    <mergeCell ref="D167:E167"/>
    <mergeCell ref="F167:F168"/>
    <mergeCell ref="G167:G168"/>
    <mergeCell ref="H167:I167"/>
    <mergeCell ref="J167:J168"/>
    <mergeCell ref="K167:K168"/>
    <mergeCell ref="L167:M167"/>
    <mergeCell ref="N167:N168"/>
    <mergeCell ref="L168:M168"/>
    <mergeCell ref="C179:C180"/>
    <mergeCell ref="D179:E179"/>
    <mergeCell ref="F179:F180"/>
    <mergeCell ref="G179:G180"/>
    <mergeCell ref="H179:I179"/>
    <mergeCell ref="J179:J180"/>
    <mergeCell ref="K179:K180"/>
    <mergeCell ref="L179:M179"/>
    <mergeCell ref="N179:N180"/>
    <mergeCell ref="D55:E55"/>
    <mergeCell ref="H55:I55"/>
    <mergeCell ref="L55:M55"/>
    <mergeCell ref="L141:M141"/>
    <mergeCell ref="L142:M142"/>
    <mergeCell ref="L143:M143"/>
    <mergeCell ref="D128:E128"/>
    <mergeCell ref="H128:I128"/>
    <mergeCell ref="L128:M128"/>
    <mergeCell ref="D129:E129"/>
    <mergeCell ref="H129:I129"/>
    <mergeCell ref="L129:M129"/>
    <mergeCell ref="D130:E130"/>
    <mergeCell ref="H130:I130"/>
    <mergeCell ref="L130:M130"/>
    <mergeCell ref="D120:E120"/>
    <mergeCell ref="H120:I120"/>
    <mergeCell ref="L120:M120"/>
    <mergeCell ref="D95:G95"/>
    <mergeCell ref="H95:K95"/>
    <mergeCell ref="L95:O95"/>
    <mergeCell ref="M96:M98"/>
    <mergeCell ref="N96:N98"/>
    <mergeCell ref="O96:O98"/>
    <mergeCell ref="D56:E56"/>
    <mergeCell ref="H56:I56"/>
    <mergeCell ref="L56:M56"/>
    <mergeCell ref="A195:A197"/>
    <mergeCell ref="B195:B197"/>
    <mergeCell ref="C195:C197"/>
    <mergeCell ref="D195:F195"/>
    <mergeCell ref="G195:I195"/>
    <mergeCell ref="J195:L195"/>
    <mergeCell ref="D196:D197"/>
    <mergeCell ref="E196:E197"/>
    <mergeCell ref="F196:F197"/>
    <mergeCell ref="G196:G197"/>
    <mergeCell ref="I196:I197"/>
    <mergeCell ref="J196:J197"/>
    <mergeCell ref="L196:L197"/>
    <mergeCell ref="L169:M169"/>
    <mergeCell ref="L170:M170"/>
    <mergeCell ref="L171:M171"/>
    <mergeCell ref="A178:A180"/>
    <mergeCell ref="B178:B180"/>
    <mergeCell ref="C178:F178"/>
    <mergeCell ref="G178:J178"/>
    <mergeCell ref="K178:N178"/>
  </mergeCells>
  <pageMargins left="0.70866141732283472" right="0.39370078740157483" top="0.74803149606299213" bottom="0.35433070866141736" header="0.31496062992125984" footer="0.31496062992125984"/>
  <pageSetup paperSize="9" scale="19" orientation="portrait" horizontalDpi="4294967295" verticalDpi="4294967295" r:id="rId1"/>
  <rowBreaks count="1" manualBreakCount="1">
    <brk id="90"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3" tint="0.39997558519241921"/>
    <pageSetUpPr fitToPage="1"/>
  </sheetPr>
  <dimension ref="A1:Q275"/>
  <sheetViews>
    <sheetView view="pageBreakPreview" topLeftCell="A56" zoomScale="70" zoomScaleNormal="85" zoomScaleSheetLayoutView="70" workbookViewId="0">
      <selection activeCell="X42" sqref="X42"/>
    </sheetView>
  </sheetViews>
  <sheetFormatPr defaultColWidth="9.140625" defaultRowHeight="12.75"/>
  <cols>
    <col min="1" max="1" width="6.85546875" style="103" bestFit="1" customWidth="1"/>
    <col min="2" max="2" width="18.42578125" style="103" bestFit="1" customWidth="1"/>
    <col min="3" max="3" width="10.7109375" style="103" bestFit="1" customWidth="1"/>
    <col min="4" max="4" width="10.5703125" style="103" bestFit="1" customWidth="1"/>
    <col min="5" max="6" width="10" style="103" bestFit="1" customWidth="1"/>
    <col min="7" max="7" width="11.28515625" style="103" bestFit="1" customWidth="1"/>
    <col min="8" max="8" width="9.85546875" style="103" bestFit="1" customWidth="1"/>
    <col min="9" max="9" width="13.140625" style="103" bestFit="1" customWidth="1"/>
    <col min="10" max="10" width="12.85546875" style="103" bestFit="1" customWidth="1"/>
    <col min="11" max="11" width="13.85546875" style="103" bestFit="1" customWidth="1"/>
    <col min="12" max="12" width="10.28515625" style="103" bestFit="1" customWidth="1"/>
    <col min="13" max="13" width="13.5703125" style="103" bestFit="1" customWidth="1"/>
    <col min="14" max="14" width="14.140625" style="103" bestFit="1" customWidth="1"/>
    <col min="15" max="15" width="12.28515625" style="103" bestFit="1" customWidth="1"/>
    <col min="16" max="16" width="11.140625" style="103" bestFit="1" customWidth="1"/>
    <col min="17" max="17" width="9.140625" style="103" bestFit="1"/>
    <col min="18" max="16384" width="9.140625" style="103"/>
  </cols>
  <sheetData>
    <row r="1" spans="1:17" hidden="1">
      <c r="A1" s="75" t="s">
        <v>345</v>
      </c>
    </row>
    <row r="2" spans="1:17" ht="25.5" hidden="1" customHeight="1">
      <c r="A2" s="1046" t="s">
        <v>176</v>
      </c>
      <c r="B2" s="1046" t="s">
        <v>9</v>
      </c>
      <c r="C2" s="1046" t="s">
        <v>274</v>
      </c>
      <c r="D2" s="1046"/>
      <c r="E2" s="1046"/>
      <c r="F2" s="1046"/>
      <c r="G2" s="1046" t="s">
        <v>275</v>
      </c>
      <c r="H2" s="1046"/>
      <c r="I2" s="1046"/>
      <c r="J2" s="1046"/>
      <c r="K2" s="1046" t="s">
        <v>276</v>
      </c>
      <c r="L2" s="1046"/>
      <c r="M2" s="1046"/>
      <c r="N2" s="1046"/>
    </row>
    <row r="3" spans="1:17" ht="38.25" hidden="1">
      <c r="A3" s="1046"/>
      <c r="B3" s="1046"/>
      <c r="C3" s="1046" t="s">
        <v>346</v>
      </c>
      <c r="D3" s="1046" t="s">
        <v>347</v>
      </c>
      <c r="E3" s="57" t="s">
        <v>348</v>
      </c>
      <c r="F3" s="1046" t="s">
        <v>349</v>
      </c>
      <c r="G3" s="1046" t="s">
        <v>346</v>
      </c>
      <c r="H3" s="1046" t="s">
        <v>347</v>
      </c>
      <c r="I3" s="57" t="s">
        <v>348</v>
      </c>
      <c r="J3" s="1046" t="s">
        <v>349</v>
      </c>
      <c r="K3" s="1046" t="s">
        <v>346</v>
      </c>
      <c r="L3" s="1046" t="s">
        <v>347</v>
      </c>
      <c r="M3" s="57" t="s">
        <v>350</v>
      </c>
      <c r="N3" s="1046" t="s">
        <v>349</v>
      </c>
    </row>
    <row r="4" spans="1:17" ht="25.5" hidden="1">
      <c r="A4" s="1046"/>
      <c r="B4" s="1046"/>
      <c r="C4" s="1046"/>
      <c r="D4" s="1046"/>
      <c r="E4" s="57" t="s">
        <v>351</v>
      </c>
      <c r="F4" s="1046"/>
      <c r="G4" s="1046"/>
      <c r="H4" s="1046"/>
      <c r="I4" s="57" t="s">
        <v>351</v>
      </c>
      <c r="J4" s="1046"/>
      <c r="K4" s="1046"/>
      <c r="L4" s="1046"/>
      <c r="M4" s="57" t="s">
        <v>351</v>
      </c>
      <c r="N4" s="1046"/>
    </row>
    <row r="5" spans="1:17" hidden="1">
      <c r="A5" s="81"/>
      <c r="B5" s="81"/>
      <c r="C5" s="90"/>
      <c r="D5" s="90"/>
      <c r="E5" s="90"/>
      <c r="F5" s="90"/>
      <c r="G5" s="90"/>
      <c r="H5" s="90"/>
      <c r="I5" s="90"/>
      <c r="J5" s="90"/>
      <c r="K5" s="90"/>
      <c r="L5" s="90"/>
      <c r="M5" s="90"/>
      <c r="N5" s="90"/>
    </row>
    <row r="6" spans="1:17">
      <c r="A6" s="75" t="s">
        <v>352</v>
      </c>
    </row>
    <row r="8" spans="1:17">
      <c r="A8" s="75" t="s">
        <v>353</v>
      </c>
    </row>
    <row r="9" spans="1:17">
      <c r="Q9" s="103" t="s">
        <v>354</v>
      </c>
    </row>
    <row r="10" spans="1:17" s="104" customFormat="1" ht="20.25" hidden="1" customHeight="1">
      <c r="A10" s="75" t="s">
        <v>235</v>
      </c>
    </row>
    <row r="11" spans="1:17" ht="20.25" hidden="1" customHeight="1">
      <c r="A11" s="75" t="s">
        <v>236</v>
      </c>
    </row>
    <row r="12" spans="1:17" hidden="1">
      <c r="A12" s="75" t="s">
        <v>237</v>
      </c>
    </row>
    <row r="13" spans="1:17" hidden="1">
      <c r="A13" s="76" t="s">
        <v>355</v>
      </c>
    </row>
    <row r="14" spans="1:17" ht="25.5" hidden="1" customHeight="1">
      <c r="A14" s="1046" t="s">
        <v>176</v>
      </c>
      <c r="B14" s="1046" t="s">
        <v>9</v>
      </c>
      <c r="C14" s="1046" t="s">
        <v>213</v>
      </c>
      <c r="D14" s="1046"/>
      <c r="E14" s="1046"/>
      <c r="F14" s="1046"/>
      <c r="G14" s="1046" t="s">
        <v>214</v>
      </c>
      <c r="H14" s="1046"/>
      <c r="I14" s="1046"/>
      <c r="J14" s="1046"/>
      <c r="K14" s="1046" t="s">
        <v>215</v>
      </c>
      <c r="L14" s="1046"/>
      <c r="M14" s="1046"/>
      <c r="N14" s="1046"/>
    </row>
    <row r="15" spans="1:17" ht="25.5" hidden="1">
      <c r="A15" s="1046"/>
      <c r="B15" s="1046"/>
      <c r="C15" s="1046" t="s">
        <v>356</v>
      </c>
      <c r="D15" s="1046" t="s">
        <v>357</v>
      </c>
      <c r="E15" s="1046" t="s">
        <v>358</v>
      </c>
      <c r="F15" s="1046" t="s">
        <v>247</v>
      </c>
      <c r="G15" s="1046" t="s">
        <v>356</v>
      </c>
      <c r="H15" s="57" t="s">
        <v>359</v>
      </c>
      <c r="I15" s="1046" t="s">
        <v>358</v>
      </c>
      <c r="J15" s="1046" t="s">
        <v>247</v>
      </c>
      <c r="K15" s="1046" t="s">
        <v>356</v>
      </c>
      <c r="L15" s="57" t="s">
        <v>359</v>
      </c>
      <c r="M15" s="1046" t="s">
        <v>358</v>
      </c>
      <c r="N15" s="1046" t="s">
        <v>247</v>
      </c>
    </row>
    <row r="16" spans="1:17" ht="25.5" hidden="1">
      <c r="A16" s="1046"/>
      <c r="B16" s="1046"/>
      <c r="C16" s="1046"/>
      <c r="D16" s="1046"/>
      <c r="E16" s="1046"/>
      <c r="F16" s="1046"/>
      <c r="G16" s="1046"/>
      <c r="H16" s="57" t="s">
        <v>360</v>
      </c>
      <c r="I16" s="1046"/>
      <c r="J16" s="1046"/>
      <c r="K16" s="1046"/>
      <c r="L16" s="57" t="s">
        <v>360</v>
      </c>
      <c r="M16" s="1046"/>
      <c r="N16" s="1046"/>
    </row>
    <row r="17" spans="1:17" ht="25.5" hidden="1">
      <c r="A17" s="57">
        <v>1</v>
      </c>
      <c r="B17" s="81" t="s">
        <v>361</v>
      </c>
      <c r="C17" s="122" t="s">
        <v>362</v>
      </c>
      <c r="D17" s="57">
        <v>0</v>
      </c>
      <c r="E17" s="57">
        <v>0</v>
      </c>
      <c r="F17" s="74">
        <v>0</v>
      </c>
      <c r="G17" s="57">
        <v>2512.1</v>
      </c>
      <c r="H17" s="57">
        <v>0.41</v>
      </c>
      <c r="I17" s="57">
        <v>0</v>
      </c>
      <c r="J17" s="74">
        <v>0</v>
      </c>
      <c r="K17" s="57">
        <v>2512.1</v>
      </c>
      <c r="L17" s="57">
        <v>0</v>
      </c>
      <c r="M17" s="57">
        <v>0</v>
      </c>
      <c r="N17" s="74">
        <f t="shared" ref="N17:N18" si="0">K17*L17*M17</f>
        <v>0</v>
      </c>
    </row>
    <row r="18" spans="1:17" ht="25.5" hidden="1">
      <c r="A18" s="57">
        <v>2</v>
      </c>
      <c r="B18" s="81" t="s">
        <v>363</v>
      </c>
      <c r="C18" s="122" t="s">
        <v>362</v>
      </c>
      <c r="D18" s="57">
        <v>0</v>
      </c>
      <c r="E18" s="57">
        <v>0</v>
      </c>
      <c r="F18" s="74">
        <v>0</v>
      </c>
      <c r="G18" s="57">
        <v>2512.1</v>
      </c>
      <c r="H18" s="57">
        <v>0.46</v>
      </c>
      <c r="I18" s="57">
        <v>0</v>
      </c>
      <c r="J18" s="74">
        <v>0</v>
      </c>
      <c r="K18" s="57">
        <v>2512.1</v>
      </c>
      <c r="L18" s="57">
        <v>0</v>
      </c>
      <c r="M18" s="57">
        <v>0</v>
      </c>
      <c r="N18" s="74">
        <f t="shared" si="0"/>
        <v>0</v>
      </c>
    </row>
    <row r="19" spans="1:17" hidden="1">
      <c r="A19" s="57"/>
      <c r="B19" s="108" t="s">
        <v>254</v>
      </c>
      <c r="C19" s="57" t="s">
        <v>25</v>
      </c>
      <c r="D19" s="57" t="s">
        <v>25</v>
      </c>
      <c r="E19" s="57" t="s">
        <v>25</v>
      </c>
      <c r="F19" s="123">
        <f>SUM(F17:F18)</f>
        <v>0</v>
      </c>
      <c r="G19" s="57" t="s">
        <v>25</v>
      </c>
      <c r="H19" s="57" t="s">
        <v>25</v>
      </c>
      <c r="I19" s="57" t="s">
        <v>25</v>
      </c>
      <c r="J19" s="74">
        <f>SUM(J17:J18)</f>
        <v>0</v>
      </c>
      <c r="K19" s="57" t="s">
        <v>25</v>
      </c>
      <c r="L19" s="57" t="s">
        <v>25</v>
      </c>
      <c r="M19" s="57" t="s">
        <v>25</v>
      </c>
      <c r="N19" s="74">
        <f>SUM(N17:N18)</f>
        <v>0</v>
      </c>
    </row>
    <row r="20" spans="1:17" hidden="1"/>
    <row r="21" spans="1:17">
      <c r="A21" s="75" t="s">
        <v>364</v>
      </c>
    </row>
    <row r="23" spans="1:17" s="104" customFormat="1">
      <c r="A23" s="77" t="s">
        <v>235</v>
      </c>
    </row>
    <row r="24" spans="1:17" ht="18.75" customHeight="1">
      <c r="A24" s="75" t="s">
        <v>236</v>
      </c>
    </row>
    <row r="25" spans="1:17" ht="13.5" customHeight="1">
      <c r="A25" s="75" t="s">
        <v>237</v>
      </c>
    </row>
    <row r="26" spans="1:17">
      <c r="A26" s="76" t="s">
        <v>355</v>
      </c>
    </row>
    <row r="27" spans="1:17" ht="25.5" customHeight="1">
      <c r="A27" s="1097" t="s">
        <v>176</v>
      </c>
      <c r="B27" s="1097" t="s">
        <v>9</v>
      </c>
      <c r="C27" s="1097" t="s">
        <v>365</v>
      </c>
      <c r="D27" s="1097" t="s">
        <v>559</v>
      </c>
      <c r="E27" s="1097"/>
      <c r="F27" s="1097"/>
      <c r="G27" s="1097"/>
      <c r="H27" s="1097" t="s">
        <v>560</v>
      </c>
      <c r="I27" s="1097"/>
      <c r="J27" s="1097"/>
      <c r="K27" s="1097"/>
      <c r="L27" s="1097" t="s">
        <v>561</v>
      </c>
      <c r="M27" s="1097"/>
      <c r="N27" s="1097"/>
      <c r="O27" s="1097"/>
    </row>
    <row r="28" spans="1:17" ht="25.5">
      <c r="A28" s="1097"/>
      <c r="B28" s="1097"/>
      <c r="C28" s="1097"/>
      <c r="D28" s="313" t="s">
        <v>366</v>
      </c>
      <c r="E28" s="313" t="s">
        <v>367</v>
      </c>
      <c r="F28" s="1097" t="s">
        <v>368</v>
      </c>
      <c r="G28" s="313" t="s">
        <v>300</v>
      </c>
      <c r="H28" s="1097" t="s">
        <v>369</v>
      </c>
      <c r="I28" s="313" t="s">
        <v>370</v>
      </c>
      <c r="J28" s="1097" t="s">
        <v>368</v>
      </c>
      <c r="K28" s="313" t="s">
        <v>300</v>
      </c>
      <c r="L28" s="1097" t="s">
        <v>369</v>
      </c>
      <c r="M28" s="313" t="s">
        <v>370</v>
      </c>
      <c r="N28" s="1097" t="s">
        <v>368</v>
      </c>
      <c r="O28" s="313" t="s">
        <v>300</v>
      </c>
    </row>
    <row r="29" spans="1:17">
      <c r="A29" s="1097"/>
      <c r="B29" s="1097"/>
      <c r="C29" s="1097"/>
      <c r="D29" s="313" t="s">
        <v>371</v>
      </c>
      <c r="E29" s="313" t="s">
        <v>372</v>
      </c>
      <c r="F29" s="1097"/>
      <c r="G29" s="313" t="s">
        <v>301</v>
      </c>
      <c r="H29" s="1097"/>
      <c r="I29" s="313" t="s">
        <v>373</v>
      </c>
      <c r="J29" s="1097"/>
      <c r="K29" s="313" t="s">
        <v>301</v>
      </c>
      <c r="L29" s="1097"/>
      <c r="M29" s="313" t="s">
        <v>373</v>
      </c>
      <c r="N29" s="1097"/>
      <c r="O29" s="313" t="s">
        <v>301</v>
      </c>
    </row>
    <row r="30" spans="1:17" ht="63.75">
      <c r="A30" s="313">
        <v>1</v>
      </c>
      <c r="B30" s="316" t="s">
        <v>374</v>
      </c>
      <c r="C30" s="333">
        <v>925.05</v>
      </c>
      <c r="D30" s="320">
        <v>1.61</v>
      </c>
      <c r="E30" s="317">
        <f>G30/F30/D30/C30</f>
        <v>13</v>
      </c>
      <c r="F30" s="314">
        <v>12</v>
      </c>
      <c r="G30" s="334">
        <v>230140.41</v>
      </c>
      <c r="H30" s="320">
        <v>1.61</v>
      </c>
      <c r="I30" s="317">
        <f>K30/J30/H30/C30</f>
        <v>13</v>
      </c>
      <c r="J30" s="314">
        <v>12</v>
      </c>
      <c r="K30" s="334">
        <v>230140.41</v>
      </c>
      <c r="L30" s="320">
        <v>1.61</v>
      </c>
      <c r="M30" s="317">
        <f>O30/N30/L30/C30</f>
        <v>13</v>
      </c>
      <c r="N30" s="314">
        <v>12</v>
      </c>
      <c r="O30" s="334">
        <v>230140.41</v>
      </c>
      <c r="Q30" s="103" t="s">
        <v>375</v>
      </c>
    </row>
    <row r="31" spans="1:17" ht="89.25" hidden="1">
      <c r="A31" s="313">
        <v>2</v>
      </c>
      <c r="B31" s="316" t="s">
        <v>376</v>
      </c>
      <c r="C31" s="333">
        <v>1165</v>
      </c>
      <c r="D31" s="313">
        <v>52000</v>
      </c>
      <c r="E31" s="317">
        <v>0</v>
      </c>
      <c r="F31" s="314">
        <v>0</v>
      </c>
      <c r="G31" s="334">
        <f>D31*F31*E31</f>
        <v>0</v>
      </c>
      <c r="H31" s="313">
        <v>0</v>
      </c>
      <c r="I31" s="317">
        <v>0</v>
      </c>
      <c r="J31" s="313">
        <v>0</v>
      </c>
      <c r="K31" s="334">
        <v>0</v>
      </c>
      <c r="L31" s="313">
        <v>0</v>
      </c>
      <c r="M31" s="317">
        <v>0</v>
      </c>
      <c r="N31" s="313">
        <v>0</v>
      </c>
      <c r="O31" s="334">
        <v>0</v>
      </c>
    </row>
    <row r="32" spans="1:17" ht="38.25" hidden="1">
      <c r="A32" s="313">
        <v>3</v>
      </c>
      <c r="B32" s="316" t="s">
        <v>377</v>
      </c>
      <c r="C32" s="313">
        <v>0</v>
      </c>
      <c r="D32" s="313">
        <v>0</v>
      </c>
      <c r="E32" s="317">
        <v>0</v>
      </c>
      <c r="F32" s="313">
        <v>0</v>
      </c>
      <c r="G32" s="335">
        <f>C32*D32*E32*F32</f>
        <v>0</v>
      </c>
      <c r="H32" s="313">
        <v>42.15</v>
      </c>
      <c r="I32" s="317">
        <v>0</v>
      </c>
      <c r="J32" s="313">
        <v>0</v>
      </c>
      <c r="K32" s="334">
        <f t="shared" ref="K32:K34" si="1">C32*H32*I32*J32</f>
        <v>0</v>
      </c>
      <c r="L32" s="313">
        <v>42.15</v>
      </c>
      <c r="M32" s="317">
        <v>0</v>
      </c>
      <c r="N32" s="313">
        <v>0</v>
      </c>
      <c r="O32" s="334">
        <f t="shared" ref="O32:O34" si="2">C32*L32*M32*N32</f>
        <v>0</v>
      </c>
    </row>
    <row r="33" spans="1:17" ht="57" hidden="1" customHeight="1">
      <c r="A33" s="313">
        <v>4</v>
      </c>
      <c r="B33" s="316" t="s">
        <v>378</v>
      </c>
      <c r="C33" s="313">
        <v>741.23</v>
      </c>
      <c r="D33" s="336">
        <v>0</v>
      </c>
      <c r="E33" s="336">
        <v>0</v>
      </c>
      <c r="F33" s="336">
        <v>0</v>
      </c>
      <c r="G33" s="336">
        <v>0</v>
      </c>
      <c r="H33" s="313">
        <v>9.82</v>
      </c>
      <c r="I33" s="317">
        <v>0</v>
      </c>
      <c r="J33" s="313">
        <v>0</v>
      </c>
      <c r="K33" s="334">
        <f t="shared" si="1"/>
        <v>0</v>
      </c>
      <c r="L33" s="313">
        <v>9.82</v>
      </c>
      <c r="M33" s="317">
        <v>0</v>
      </c>
      <c r="N33" s="313">
        <v>0</v>
      </c>
      <c r="O33" s="334">
        <f t="shared" si="2"/>
        <v>0</v>
      </c>
    </row>
    <row r="34" spans="1:17" ht="57" hidden="1" customHeight="1">
      <c r="A34" s="313">
        <v>5</v>
      </c>
      <c r="B34" s="316" t="s">
        <v>379</v>
      </c>
      <c r="C34" s="313">
        <v>1972.5</v>
      </c>
      <c r="D34" s="336">
        <v>0</v>
      </c>
      <c r="E34" s="336">
        <v>0</v>
      </c>
      <c r="F34" s="336">
        <v>0</v>
      </c>
      <c r="G34" s="336">
        <v>0</v>
      </c>
      <c r="H34" s="313">
        <v>54.49</v>
      </c>
      <c r="I34" s="317">
        <v>0</v>
      </c>
      <c r="J34" s="313">
        <v>0</v>
      </c>
      <c r="K34" s="334">
        <f t="shared" si="1"/>
        <v>0</v>
      </c>
      <c r="L34" s="313">
        <v>54.49</v>
      </c>
      <c r="M34" s="317">
        <v>0</v>
      </c>
      <c r="N34" s="313">
        <v>0</v>
      </c>
      <c r="O34" s="334">
        <f t="shared" si="2"/>
        <v>0</v>
      </c>
    </row>
    <row r="35" spans="1:17">
      <c r="A35" s="316"/>
      <c r="B35" s="337" t="s">
        <v>254</v>
      </c>
      <c r="C35" s="313" t="s">
        <v>25</v>
      </c>
      <c r="D35" s="313" t="s">
        <v>25</v>
      </c>
      <c r="E35" s="313" t="s">
        <v>25</v>
      </c>
      <c r="F35" s="313" t="s">
        <v>25</v>
      </c>
      <c r="G35" s="334">
        <f>SUM(G30:G33)</f>
        <v>230140.41</v>
      </c>
      <c r="H35" s="313" t="s">
        <v>25</v>
      </c>
      <c r="I35" s="313" t="s">
        <v>25</v>
      </c>
      <c r="J35" s="313" t="s">
        <v>25</v>
      </c>
      <c r="K35" s="334">
        <f>SUM(K30:K34)</f>
        <v>230140.41</v>
      </c>
      <c r="L35" s="313" t="s">
        <v>25</v>
      </c>
      <c r="M35" s="313" t="s">
        <v>25</v>
      </c>
      <c r="N35" s="313" t="s">
        <v>25</v>
      </c>
      <c r="O35" s="334">
        <f>SUM(O30:O34)</f>
        <v>230140.41</v>
      </c>
    </row>
    <row r="36" spans="1:17">
      <c r="D36" s="263"/>
    </row>
    <row r="37" spans="1:17" s="106" customFormat="1">
      <c r="A37" s="84" t="s">
        <v>240</v>
      </c>
    </row>
    <row r="38" spans="1:17" ht="22.5" customHeight="1">
      <c r="A38" s="75" t="s">
        <v>241</v>
      </c>
      <c r="G38" s="124"/>
    </row>
    <row r="39" spans="1:17">
      <c r="A39" s="75" t="s">
        <v>242</v>
      </c>
      <c r="G39" s="125"/>
      <c r="H39" s="126"/>
    </row>
    <row r="40" spans="1:17">
      <c r="A40" s="76" t="s">
        <v>355</v>
      </c>
    </row>
    <row r="41" spans="1:17" ht="15" customHeight="1">
      <c r="A41" s="1097" t="s">
        <v>176</v>
      </c>
      <c r="B41" s="1097" t="s">
        <v>9</v>
      </c>
      <c r="C41" s="1097" t="s">
        <v>365</v>
      </c>
      <c r="D41" s="1097" t="s">
        <v>559</v>
      </c>
      <c r="E41" s="1097"/>
      <c r="F41" s="1097"/>
      <c r="G41" s="1097"/>
      <c r="H41" s="1097" t="s">
        <v>560</v>
      </c>
      <c r="I41" s="1097"/>
      <c r="J41" s="1097"/>
      <c r="K41" s="1097"/>
      <c r="L41" s="1097" t="s">
        <v>561</v>
      </c>
      <c r="M41" s="1097"/>
      <c r="N41" s="1097"/>
      <c r="O41" s="1097"/>
    </row>
    <row r="42" spans="1:17" ht="25.5">
      <c r="A42" s="1097"/>
      <c r="B42" s="1097"/>
      <c r="C42" s="1097"/>
      <c r="D42" s="313" t="s">
        <v>366</v>
      </c>
      <c r="E42" s="313" t="s">
        <v>367</v>
      </c>
      <c r="F42" s="1097" t="s">
        <v>368</v>
      </c>
      <c r="G42" s="313" t="s">
        <v>300</v>
      </c>
      <c r="H42" s="1097" t="s">
        <v>369</v>
      </c>
      <c r="I42" s="313" t="s">
        <v>370</v>
      </c>
      <c r="J42" s="1097" t="s">
        <v>368</v>
      </c>
      <c r="K42" s="313" t="s">
        <v>300</v>
      </c>
      <c r="L42" s="1097" t="s">
        <v>369</v>
      </c>
      <c r="M42" s="313" t="s">
        <v>370</v>
      </c>
      <c r="N42" s="1097" t="s">
        <v>368</v>
      </c>
      <c r="O42" s="313" t="s">
        <v>300</v>
      </c>
    </row>
    <row r="43" spans="1:17">
      <c r="A43" s="1097"/>
      <c r="B43" s="1097"/>
      <c r="C43" s="1097"/>
      <c r="D43" s="313" t="s">
        <v>371</v>
      </c>
      <c r="E43" s="313" t="s">
        <v>372</v>
      </c>
      <c r="F43" s="1097"/>
      <c r="G43" s="313" t="s">
        <v>301</v>
      </c>
      <c r="H43" s="1097"/>
      <c r="I43" s="313" t="s">
        <v>373</v>
      </c>
      <c r="J43" s="1097"/>
      <c r="K43" s="313" t="s">
        <v>301</v>
      </c>
      <c r="L43" s="1097"/>
      <c r="M43" s="313" t="s">
        <v>373</v>
      </c>
      <c r="N43" s="1097"/>
      <c r="O43" s="313" t="s">
        <v>301</v>
      </c>
    </row>
    <row r="44" spans="1:17" ht="63.75" customHeight="1">
      <c r="A44" s="313">
        <v>1</v>
      </c>
      <c r="B44" s="316" t="s">
        <v>374</v>
      </c>
      <c r="C44" s="333">
        <v>925.05</v>
      </c>
      <c r="D44" s="320">
        <v>1.61</v>
      </c>
      <c r="E44" s="317">
        <f>G44/F44/D44/C44</f>
        <v>16</v>
      </c>
      <c r="F44" s="314">
        <v>12</v>
      </c>
      <c r="G44" s="334">
        <v>281282.73</v>
      </c>
      <c r="H44" s="320">
        <v>1.61</v>
      </c>
      <c r="I44" s="317">
        <f>K44/J44/H44/C44</f>
        <v>16</v>
      </c>
      <c r="J44" s="314">
        <v>12</v>
      </c>
      <c r="K44" s="334">
        <v>281282.73</v>
      </c>
      <c r="L44" s="320">
        <v>1.61</v>
      </c>
      <c r="M44" s="317">
        <f>O44/N44/L44/C44</f>
        <v>16</v>
      </c>
      <c r="N44" s="314">
        <v>12</v>
      </c>
      <c r="O44" s="334">
        <v>281282.73</v>
      </c>
      <c r="Q44" s="103" t="s">
        <v>380</v>
      </c>
    </row>
    <row r="45" spans="1:17" ht="57" hidden="1" customHeight="1">
      <c r="A45" s="331">
        <v>2</v>
      </c>
      <c r="B45" s="316" t="s">
        <v>378</v>
      </c>
      <c r="C45" s="313">
        <v>741.23</v>
      </c>
      <c r="D45" s="313">
        <v>9.82</v>
      </c>
      <c r="E45" s="317">
        <v>0</v>
      </c>
      <c r="F45" s="313">
        <v>0</v>
      </c>
      <c r="G45" s="334">
        <v>0</v>
      </c>
      <c r="H45" s="336">
        <v>0</v>
      </c>
      <c r="I45" s="336">
        <v>0</v>
      </c>
      <c r="J45" s="336">
        <v>0</v>
      </c>
      <c r="K45" s="336">
        <v>0</v>
      </c>
      <c r="L45" s="336">
        <v>0</v>
      </c>
      <c r="M45" s="336">
        <v>0</v>
      </c>
      <c r="N45" s="336">
        <v>0</v>
      </c>
      <c r="O45" s="334">
        <f t="shared" ref="O45:O46" si="3">C45*L45*M45*N45</f>
        <v>0</v>
      </c>
    </row>
    <row r="46" spans="1:17" ht="57" hidden="1" customHeight="1">
      <c r="A46" s="331">
        <v>3</v>
      </c>
      <c r="B46" s="316" t="s">
        <v>379</v>
      </c>
      <c r="C46" s="313">
        <v>1972.5</v>
      </c>
      <c r="D46" s="336">
        <v>0</v>
      </c>
      <c r="E46" s="336">
        <v>0</v>
      </c>
      <c r="F46" s="336">
        <v>0</v>
      </c>
      <c r="G46" s="336">
        <v>0</v>
      </c>
      <c r="H46" s="313">
        <v>54.49</v>
      </c>
      <c r="I46" s="317">
        <v>1</v>
      </c>
      <c r="J46" s="313">
        <v>2</v>
      </c>
      <c r="K46" s="334">
        <v>0</v>
      </c>
      <c r="L46" s="336">
        <v>0</v>
      </c>
      <c r="M46" s="336">
        <v>0</v>
      </c>
      <c r="N46" s="336">
        <v>0</v>
      </c>
      <c r="O46" s="334">
        <f t="shared" si="3"/>
        <v>0</v>
      </c>
    </row>
    <row r="47" spans="1:17">
      <c r="A47" s="316"/>
      <c r="B47" s="337" t="s">
        <v>254</v>
      </c>
      <c r="C47" s="313" t="s">
        <v>25</v>
      </c>
      <c r="D47" s="313" t="s">
        <v>25</v>
      </c>
      <c r="E47" s="313" t="s">
        <v>25</v>
      </c>
      <c r="F47" s="313" t="s">
        <v>25</v>
      </c>
      <c r="G47" s="334">
        <f>SUM(G44:G46)</f>
        <v>281282.73</v>
      </c>
      <c r="H47" s="313" t="s">
        <v>25</v>
      </c>
      <c r="I47" s="313" t="s">
        <v>25</v>
      </c>
      <c r="J47" s="313" t="s">
        <v>25</v>
      </c>
      <c r="K47" s="334">
        <f>SUM(K44:K46)</f>
        <v>281282.73</v>
      </c>
      <c r="L47" s="313" t="s">
        <v>25</v>
      </c>
      <c r="M47" s="313" t="s">
        <v>25</v>
      </c>
      <c r="N47" s="313" t="s">
        <v>25</v>
      </c>
      <c r="O47" s="334">
        <f>SUM(O44:O46)</f>
        <v>281282.73</v>
      </c>
    </row>
    <row r="48" spans="1:17">
      <c r="A48" s="75" t="s">
        <v>381</v>
      </c>
    </row>
    <row r="50" spans="1:17" s="104" customFormat="1">
      <c r="A50" s="338" t="s">
        <v>235</v>
      </c>
      <c r="B50" s="339"/>
      <c r="C50" s="339"/>
      <c r="D50" s="339"/>
      <c r="E50" s="339"/>
      <c r="F50" s="339"/>
      <c r="G50" s="339"/>
      <c r="H50" s="339"/>
      <c r="I50" s="339"/>
      <c r="J50" s="339"/>
      <c r="K50" s="339"/>
      <c r="L50" s="339"/>
      <c r="M50" s="339"/>
      <c r="N50" s="339"/>
      <c r="O50" s="339"/>
    </row>
    <row r="51" spans="1:17" ht="17.25" customHeight="1">
      <c r="A51" s="340" t="s">
        <v>236</v>
      </c>
      <c r="B51" s="341"/>
      <c r="C51" s="341"/>
      <c r="D51" s="341"/>
      <c r="E51" s="341"/>
      <c r="F51" s="341"/>
      <c r="G51" s="341"/>
      <c r="H51" s="341"/>
      <c r="I51" s="341"/>
      <c r="J51" s="341"/>
      <c r="K51" s="341"/>
      <c r="L51" s="341"/>
      <c r="M51" s="341"/>
      <c r="N51" s="341"/>
      <c r="O51" s="341"/>
    </row>
    <row r="52" spans="1:17">
      <c r="A52" s="340" t="s">
        <v>237</v>
      </c>
      <c r="B52" s="341"/>
      <c r="C52" s="341"/>
      <c r="D52" s="341"/>
      <c r="E52" s="341"/>
      <c r="F52" s="341"/>
      <c r="G52" s="341"/>
      <c r="H52" s="341"/>
      <c r="I52" s="341"/>
      <c r="J52" s="341"/>
      <c r="K52" s="341"/>
      <c r="L52" s="341"/>
      <c r="M52" s="341"/>
      <c r="N52" s="341"/>
      <c r="O52" s="341"/>
    </row>
    <row r="53" spans="1:17">
      <c r="A53" s="342" t="s">
        <v>355</v>
      </c>
      <c r="B53" s="341"/>
      <c r="C53" s="341"/>
      <c r="D53" s="341"/>
      <c r="E53" s="341"/>
      <c r="F53" s="341"/>
      <c r="G53" s="341"/>
      <c r="H53" s="341"/>
      <c r="I53" s="341"/>
      <c r="J53" s="341"/>
      <c r="K53" s="341"/>
      <c r="L53" s="341"/>
      <c r="M53" s="341"/>
      <c r="N53" s="341"/>
      <c r="O53" s="341"/>
    </row>
    <row r="54" spans="1:17">
      <c r="A54" s="1094" t="s">
        <v>176</v>
      </c>
      <c r="B54" s="1094" t="s">
        <v>9</v>
      </c>
      <c r="C54" s="1094" t="s">
        <v>382</v>
      </c>
      <c r="D54" s="1091" t="s">
        <v>559</v>
      </c>
      <c r="E54" s="1092"/>
      <c r="F54" s="1092"/>
      <c r="G54" s="1093"/>
      <c r="H54" s="1091" t="s">
        <v>560</v>
      </c>
      <c r="I54" s="1092"/>
      <c r="J54" s="1092"/>
      <c r="K54" s="1093"/>
      <c r="L54" s="1091" t="s">
        <v>561</v>
      </c>
      <c r="M54" s="1092"/>
      <c r="N54" s="1092"/>
      <c r="O54" s="1093"/>
    </row>
    <row r="55" spans="1:17">
      <c r="A55" s="1096"/>
      <c r="B55" s="1096"/>
      <c r="C55" s="1096"/>
      <c r="D55" s="1094" t="s">
        <v>383</v>
      </c>
      <c r="E55" s="1094" t="s">
        <v>384</v>
      </c>
      <c r="F55" s="1094" t="s">
        <v>385</v>
      </c>
      <c r="G55" s="313" t="s">
        <v>300</v>
      </c>
      <c r="H55" s="1094" t="s">
        <v>383</v>
      </c>
      <c r="I55" s="1094" t="s">
        <v>384</v>
      </c>
      <c r="J55" s="1094" t="s">
        <v>385</v>
      </c>
      <c r="K55" s="313" t="s">
        <v>300</v>
      </c>
      <c r="L55" s="1094" t="s">
        <v>383</v>
      </c>
      <c r="M55" s="1094" t="s">
        <v>384</v>
      </c>
      <c r="N55" s="1094" t="s">
        <v>385</v>
      </c>
      <c r="O55" s="313" t="s">
        <v>300</v>
      </c>
    </row>
    <row r="56" spans="1:17" ht="42.75" customHeight="1">
      <c r="A56" s="1095"/>
      <c r="B56" s="1095"/>
      <c r="C56" s="1095"/>
      <c r="D56" s="1095"/>
      <c r="E56" s="1095"/>
      <c r="F56" s="1095"/>
      <c r="G56" s="313" t="s">
        <v>301</v>
      </c>
      <c r="H56" s="1095"/>
      <c r="I56" s="1095"/>
      <c r="J56" s="1095"/>
      <c r="K56" s="313" t="s">
        <v>301</v>
      </c>
      <c r="L56" s="1095"/>
      <c r="M56" s="1095"/>
      <c r="N56" s="1095"/>
      <c r="O56" s="313" t="s">
        <v>301</v>
      </c>
      <c r="Q56" s="103" t="s">
        <v>386</v>
      </c>
    </row>
    <row r="57" spans="1:17" ht="84" hidden="1" customHeight="1">
      <c r="A57" s="331">
        <v>1</v>
      </c>
      <c r="B57" s="316" t="s">
        <v>387</v>
      </c>
      <c r="C57" s="313" t="s">
        <v>388</v>
      </c>
      <c r="D57" s="333" t="s">
        <v>362</v>
      </c>
      <c r="E57" s="313">
        <v>0</v>
      </c>
      <c r="F57" s="313">
        <v>0</v>
      </c>
      <c r="G57" s="334">
        <v>0</v>
      </c>
      <c r="H57" s="313">
        <v>0</v>
      </c>
      <c r="I57" s="313">
        <v>0</v>
      </c>
      <c r="J57" s="313">
        <v>0</v>
      </c>
      <c r="K57" s="334">
        <f>H57*I57*J57</f>
        <v>0</v>
      </c>
      <c r="L57" s="313">
        <v>0</v>
      </c>
      <c r="M57" s="313">
        <v>0</v>
      </c>
      <c r="N57" s="313">
        <v>0</v>
      </c>
      <c r="O57" s="334">
        <f t="shared" ref="O57:O58" si="4">L57*M57*N57</f>
        <v>0</v>
      </c>
    </row>
    <row r="58" spans="1:17" ht="63.75" hidden="1">
      <c r="A58" s="331">
        <v>2</v>
      </c>
      <c r="B58" s="316" t="s">
        <v>389</v>
      </c>
      <c r="C58" s="316" t="s">
        <v>390</v>
      </c>
      <c r="D58" s="313">
        <v>1</v>
      </c>
      <c r="E58" s="313">
        <v>0</v>
      </c>
      <c r="F58" s="334" t="e">
        <f t="shared" ref="F58:F59" si="5">G58/D58/E58</f>
        <v>#DIV/0!</v>
      </c>
      <c r="G58" s="334">
        <v>0</v>
      </c>
      <c r="H58" s="313">
        <v>0</v>
      </c>
      <c r="I58" s="313">
        <v>0</v>
      </c>
      <c r="J58" s="334">
        <v>0</v>
      </c>
      <c r="K58" s="334">
        <v>0</v>
      </c>
      <c r="L58" s="313">
        <v>0</v>
      </c>
      <c r="M58" s="313">
        <v>0</v>
      </c>
      <c r="N58" s="334">
        <v>0</v>
      </c>
      <c r="O58" s="334">
        <f t="shared" si="4"/>
        <v>0</v>
      </c>
    </row>
    <row r="59" spans="1:17" ht="132" customHeight="1">
      <c r="A59" s="315">
        <v>1</v>
      </c>
      <c r="B59" s="516" t="s">
        <v>391</v>
      </c>
      <c r="C59" s="315" t="s">
        <v>390</v>
      </c>
      <c r="D59" s="315">
        <v>1</v>
      </c>
      <c r="E59" s="315">
        <v>12</v>
      </c>
      <c r="F59" s="322">
        <f t="shared" si="5"/>
        <v>1205.8699999999999</v>
      </c>
      <c r="G59" s="517">
        <v>14470.44</v>
      </c>
      <c r="H59" s="315">
        <v>1</v>
      </c>
      <c r="I59" s="315">
        <v>12</v>
      </c>
      <c r="J59" s="322">
        <f t="shared" ref="J59:J61" si="6">K59/H59/I59</f>
        <v>1205.8699999999999</v>
      </c>
      <c r="K59" s="517">
        <v>14470.44</v>
      </c>
      <c r="L59" s="315">
        <v>1</v>
      </c>
      <c r="M59" s="315">
        <v>12</v>
      </c>
      <c r="N59" s="322">
        <f t="shared" ref="N59:N61" si="7">O59/L59/M59</f>
        <v>1205.8699999999999</v>
      </c>
      <c r="O59" s="517">
        <v>14470.44</v>
      </c>
    </row>
    <row r="60" spans="1:17" ht="173.25" customHeight="1">
      <c r="A60" s="315">
        <v>2</v>
      </c>
      <c r="B60" s="516" t="s">
        <v>392</v>
      </c>
      <c r="C60" s="315" t="s">
        <v>390</v>
      </c>
      <c r="D60" s="315">
        <v>4</v>
      </c>
      <c r="E60" s="315">
        <v>12</v>
      </c>
      <c r="F60" s="322">
        <f>14403.3-2888.05</f>
        <v>11515.25</v>
      </c>
      <c r="G60" s="517">
        <v>25199.88</v>
      </c>
      <c r="H60" s="315">
        <v>4</v>
      </c>
      <c r="I60" s="315">
        <v>12</v>
      </c>
      <c r="J60" s="322">
        <f t="shared" si="6"/>
        <v>525</v>
      </c>
      <c r="K60" s="517">
        <v>25199.88</v>
      </c>
      <c r="L60" s="315">
        <v>4</v>
      </c>
      <c r="M60" s="315">
        <v>12</v>
      </c>
      <c r="N60" s="322">
        <f t="shared" si="7"/>
        <v>525</v>
      </c>
      <c r="O60" s="517">
        <v>25199.88</v>
      </c>
    </row>
    <row r="61" spans="1:17" ht="39.75" customHeight="1">
      <c r="A61" s="315">
        <v>3</v>
      </c>
      <c r="B61" s="516" t="s">
        <v>393</v>
      </c>
      <c r="C61" s="315" t="s">
        <v>388</v>
      </c>
      <c r="D61" s="315">
        <v>0</v>
      </c>
      <c r="E61" s="315">
        <v>0</v>
      </c>
      <c r="F61" s="322">
        <v>0</v>
      </c>
      <c r="G61" s="517">
        <v>0</v>
      </c>
      <c r="H61" s="315">
        <f>35+7</f>
        <v>42</v>
      </c>
      <c r="I61" s="315">
        <v>4</v>
      </c>
      <c r="J61" s="322">
        <f t="shared" si="6"/>
        <v>75.89</v>
      </c>
      <c r="K61" s="517">
        <v>12750</v>
      </c>
      <c r="L61" s="315">
        <f>35+7</f>
        <v>42</v>
      </c>
      <c r="M61" s="315">
        <v>4</v>
      </c>
      <c r="N61" s="322">
        <f t="shared" si="7"/>
        <v>89.05</v>
      </c>
      <c r="O61" s="517">
        <v>14960</v>
      </c>
    </row>
    <row r="62" spans="1:17" ht="54.75" customHeight="1">
      <c r="A62" s="315">
        <v>4</v>
      </c>
      <c r="B62" s="516" t="s">
        <v>586</v>
      </c>
      <c r="C62" s="315" t="s">
        <v>388</v>
      </c>
      <c r="D62" s="315">
        <v>0</v>
      </c>
      <c r="E62" s="315">
        <v>0</v>
      </c>
      <c r="F62" s="322">
        <v>0</v>
      </c>
      <c r="G62" s="517">
        <v>0</v>
      </c>
      <c r="H62" s="315">
        <v>0</v>
      </c>
      <c r="I62" s="315">
        <v>0</v>
      </c>
      <c r="J62" s="322">
        <v>0</v>
      </c>
      <c r="K62" s="517">
        <v>0</v>
      </c>
      <c r="L62" s="315">
        <v>6</v>
      </c>
      <c r="M62" s="315">
        <v>1</v>
      </c>
      <c r="N62" s="322">
        <v>124.67</v>
      </c>
      <c r="O62" s="517">
        <f>L62*M62*N62</f>
        <v>748.02</v>
      </c>
    </row>
    <row r="63" spans="1:17" ht="130.5" customHeight="1">
      <c r="A63" s="315">
        <v>5</v>
      </c>
      <c r="B63" s="516" t="s">
        <v>394</v>
      </c>
      <c r="C63" s="315" t="s">
        <v>390</v>
      </c>
      <c r="D63" s="315">
        <v>2</v>
      </c>
      <c r="E63" s="315">
        <v>9</v>
      </c>
      <c r="F63" s="322">
        <f>G63/E63/D63</f>
        <v>2750</v>
      </c>
      <c r="G63" s="517">
        <v>49500</v>
      </c>
      <c r="H63" s="315">
        <v>2</v>
      </c>
      <c r="I63" s="315">
        <v>9</v>
      </c>
      <c r="J63" s="322">
        <f>K63/I63/H63</f>
        <v>2750</v>
      </c>
      <c r="K63" s="517">
        <v>49500</v>
      </c>
      <c r="L63" s="315">
        <v>2</v>
      </c>
      <c r="M63" s="315">
        <v>9</v>
      </c>
      <c r="N63" s="322">
        <f>O63/M63/L63</f>
        <v>2750</v>
      </c>
      <c r="O63" s="517">
        <v>49500</v>
      </c>
    </row>
    <row r="64" spans="1:17">
      <c r="A64" s="516"/>
      <c r="B64" s="518" t="s">
        <v>254</v>
      </c>
      <c r="C64" s="315" t="s">
        <v>25</v>
      </c>
      <c r="D64" s="315">
        <v>0</v>
      </c>
      <c r="E64" s="315">
        <v>0</v>
      </c>
      <c r="F64" s="315">
        <v>0</v>
      </c>
      <c r="G64" s="517">
        <f>SUM(G57:G63)</f>
        <v>89170.32</v>
      </c>
      <c r="H64" s="315" t="s">
        <v>25</v>
      </c>
      <c r="I64" s="315" t="s">
        <v>25</v>
      </c>
      <c r="J64" s="315" t="s">
        <v>25</v>
      </c>
      <c r="K64" s="517">
        <f>SUM(K57:K63)</f>
        <v>101920.32000000001</v>
      </c>
      <c r="L64" s="315" t="s">
        <v>25</v>
      </c>
      <c r="M64" s="315" t="s">
        <v>25</v>
      </c>
      <c r="N64" s="315" t="s">
        <v>25</v>
      </c>
      <c r="O64" s="517">
        <f>SUM(O57:O63)</f>
        <v>104878.34</v>
      </c>
    </row>
    <row r="66" spans="1:15" hidden="1"/>
    <row r="67" spans="1:15" s="106" customFormat="1" hidden="1">
      <c r="A67" s="84" t="s">
        <v>240</v>
      </c>
    </row>
    <row r="68" spans="1:15" hidden="1">
      <c r="A68" s="75" t="s">
        <v>241</v>
      </c>
    </row>
    <row r="69" spans="1:15" hidden="1">
      <c r="A69" s="75" t="s">
        <v>242</v>
      </c>
    </row>
    <row r="70" spans="1:15" hidden="1">
      <c r="A70" s="76" t="s">
        <v>355</v>
      </c>
    </row>
    <row r="71" spans="1:15" hidden="1">
      <c r="A71" s="1046" t="s">
        <v>176</v>
      </c>
      <c r="B71" s="1046" t="s">
        <v>9</v>
      </c>
      <c r="C71" s="1046" t="s">
        <v>382</v>
      </c>
      <c r="D71" s="1046" t="s">
        <v>213</v>
      </c>
      <c r="E71" s="1046"/>
      <c r="F71" s="1046"/>
      <c r="G71" s="1046"/>
      <c r="H71" s="1046" t="s">
        <v>214</v>
      </c>
      <c r="I71" s="1046"/>
      <c r="J71" s="1046"/>
      <c r="K71" s="1046"/>
      <c r="L71" s="1046" t="s">
        <v>215</v>
      </c>
      <c r="M71" s="1046"/>
      <c r="N71" s="1046"/>
      <c r="O71" s="1046"/>
    </row>
    <row r="72" spans="1:15" hidden="1">
      <c r="A72" s="1046"/>
      <c r="B72" s="1046"/>
      <c r="C72" s="1046"/>
      <c r="D72" s="1046" t="s">
        <v>383</v>
      </c>
      <c r="E72" s="1046" t="s">
        <v>384</v>
      </c>
      <c r="F72" s="1046" t="s">
        <v>385</v>
      </c>
      <c r="G72" s="57" t="s">
        <v>300</v>
      </c>
      <c r="H72" s="1046" t="s">
        <v>383</v>
      </c>
      <c r="I72" s="1046" t="s">
        <v>384</v>
      </c>
      <c r="J72" s="1046" t="s">
        <v>385</v>
      </c>
      <c r="K72" s="57" t="s">
        <v>300</v>
      </c>
      <c r="L72" s="1046" t="s">
        <v>383</v>
      </c>
      <c r="M72" s="1046" t="s">
        <v>384</v>
      </c>
      <c r="N72" s="1046" t="s">
        <v>385</v>
      </c>
      <c r="O72" s="57" t="s">
        <v>300</v>
      </c>
    </row>
    <row r="73" spans="1:15" ht="36" hidden="1" customHeight="1">
      <c r="A73" s="1046"/>
      <c r="B73" s="1046"/>
      <c r="C73" s="1046"/>
      <c r="D73" s="1046"/>
      <c r="E73" s="1046"/>
      <c r="F73" s="1046"/>
      <c r="G73" s="57" t="s">
        <v>301</v>
      </c>
      <c r="H73" s="1046"/>
      <c r="I73" s="1046"/>
      <c r="J73" s="1046"/>
      <c r="K73" s="57" t="s">
        <v>301</v>
      </c>
      <c r="L73" s="1046"/>
      <c r="M73" s="1046"/>
      <c r="N73" s="1046"/>
      <c r="O73" s="57" t="s">
        <v>301</v>
      </c>
    </row>
    <row r="74" spans="1:15" ht="165.75" hidden="1">
      <c r="A74" s="57">
        <v>1</v>
      </c>
      <c r="B74" s="81" t="s">
        <v>395</v>
      </c>
      <c r="C74" s="81" t="s">
        <v>390</v>
      </c>
      <c r="D74" s="57">
        <v>4</v>
      </c>
      <c r="E74" s="57">
        <v>12</v>
      </c>
      <c r="F74" s="96">
        <f t="shared" ref="F74:F75" si="8">G74/D74/E74</f>
        <v>0</v>
      </c>
      <c r="G74" s="96">
        <v>0</v>
      </c>
      <c r="H74" s="57">
        <v>0</v>
      </c>
      <c r="I74" s="57">
        <v>0</v>
      </c>
      <c r="J74" s="96">
        <v>0</v>
      </c>
      <c r="K74" s="96">
        <v>0</v>
      </c>
      <c r="L74" s="57">
        <v>0</v>
      </c>
      <c r="M74" s="57">
        <v>0</v>
      </c>
      <c r="N74" s="96">
        <v>0</v>
      </c>
      <c r="O74" s="96">
        <f t="shared" ref="O74:O75" si="9">L74*M74*N74</f>
        <v>0</v>
      </c>
    </row>
    <row r="75" spans="1:15" hidden="1">
      <c r="A75" s="57">
        <v>2</v>
      </c>
      <c r="B75" s="81" t="s">
        <v>396</v>
      </c>
      <c r="C75" s="81" t="s">
        <v>390</v>
      </c>
      <c r="D75" s="57">
        <v>2</v>
      </c>
      <c r="E75" s="57">
        <v>12</v>
      </c>
      <c r="F75" s="96">
        <f t="shared" si="8"/>
        <v>0</v>
      </c>
      <c r="G75" s="96">
        <v>0</v>
      </c>
      <c r="H75" s="57">
        <v>0</v>
      </c>
      <c r="I75" s="57">
        <v>0</v>
      </c>
      <c r="J75" s="96">
        <v>0</v>
      </c>
      <c r="K75" s="96">
        <f>H75*I75*J75</f>
        <v>0</v>
      </c>
      <c r="L75" s="57">
        <v>0</v>
      </c>
      <c r="M75" s="57">
        <v>0</v>
      </c>
      <c r="N75" s="96">
        <v>0</v>
      </c>
      <c r="O75" s="96">
        <f t="shared" si="9"/>
        <v>0</v>
      </c>
    </row>
    <row r="76" spans="1:15" ht="25.5" hidden="1">
      <c r="A76" s="57">
        <v>3</v>
      </c>
      <c r="B76" s="81" t="s">
        <v>393</v>
      </c>
      <c r="C76" s="81" t="s">
        <v>397</v>
      </c>
      <c r="D76" s="57">
        <v>1</v>
      </c>
      <c r="E76" s="57">
        <v>1</v>
      </c>
      <c r="F76" s="96">
        <f>G76/E76/D76</f>
        <v>0</v>
      </c>
      <c r="G76" s="96">
        <v>0</v>
      </c>
      <c r="H76" s="57">
        <v>0</v>
      </c>
      <c r="I76" s="57">
        <v>0</v>
      </c>
      <c r="J76" s="96">
        <v>0</v>
      </c>
      <c r="K76" s="96">
        <v>0</v>
      </c>
      <c r="L76" s="57">
        <v>0</v>
      </c>
      <c r="M76" s="57">
        <v>0</v>
      </c>
      <c r="N76" s="96">
        <v>0</v>
      </c>
      <c r="O76" s="96">
        <v>0</v>
      </c>
    </row>
    <row r="77" spans="1:15" ht="63.75" hidden="1">
      <c r="A77" s="182">
        <v>4</v>
      </c>
      <c r="B77" s="183" t="s">
        <v>487</v>
      </c>
      <c r="C77" s="183" t="s">
        <v>397</v>
      </c>
      <c r="D77" s="182">
        <v>3</v>
      </c>
      <c r="E77" s="182">
        <v>1</v>
      </c>
      <c r="F77" s="96">
        <f>G77/E77/D77</f>
        <v>0</v>
      </c>
      <c r="G77" s="96">
        <v>0</v>
      </c>
      <c r="H77" s="182">
        <v>0</v>
      </c>
      <c r="I77" s="182">
        <v>0</v>
      </c>
      <c r="J77" s="96">
        <v>0</v>
      </c>
      <c r="K77" s="96">
        <v>0</v>
      </c>
      <c r="L77" s="182">
        <v>0</v>
      </c>
      <c r="M77" s="182">
        <v>0</v>
      </c>
      <c r="N77" s="96">
        <v>0</v>
      </c>
      <c r="O77" s="96">
        <v>0</v>
      </c>
    </row>
    <row r="78" spans="1:15" ht="38.25" hidden="1">
      <c r="A78" s="57">
        <v>5</v>
      </c>
      <c r="B78" s="81" t="s">
        <v>488</v>
      </c>
      <c r="C78" s="183" t="s">
        <v>397</v>
      </c>
      <c r="D78" s="57">
        <v>2</v>
      </c>
      <c r="E78" s="57">
        <v>1</v>
      </c>
      <c r="F78" s="96">
        <f>G78/E78/D78</f>
        <v>0</v>
      </c>
      <c r="G78" s="96">
        <v>0</v>
      </c>
      <c r="H78" s="57">
        <v>0</v>
      </c>
      <c r="I78" s="57">
        <v>0</v>
      </c>
      <c r="J78" s="96">
        <v>0</v>
      </c>
      <c r="K78" s="96">
        <v>0</v>
      </c>
      <c r="L78" s="57">
        <v>0</v>
      </c>
      <c r="M78" s="57">
        <v>0</v>
      </c>
      <c r="N78" s="96">
        <v>0</v>
      </c>
      <c r="O78" s="96">
        <v>0</v>
      </c>
    </row>
    <row r="79" spans="1:15" hidden="1">
      <c r="A79" s="81"/>
      <c r="B79" s="108" t="s">
        <v>254</v>
      </c>
      <c r="C79" s="57" t="s">
        <v>25</v>
      </c>
      <c r="D79" s="57" t="s">
        <v>25</v>
      </c>
      <c r="E79" s="57" t="s">
        <v>25</v>
      </c>
      <c r="F79" s="57" t="s">
        <v>25</v>
      </c>
      <c r="G79" s="96">
        <f>SUM(G74:G78)</f>
        <v>0</v>
      </c>
      <c r="H79" s="57" t="s">
        <v>25</v>
      </c>
      <c r="I79" s="57" t="s">
        <v>25</v>
      </c>
      <c r="J79" s="57" t="s">
        <v>25</v>
      </c>
      <c r="K79" s="96">
        <f>K75</f>
        <v>0</v>
      </c>
      <c r="L79" s="57" t="s">
        <v>25</v>
      </c>
      <c r="M79" s="57" t="s">
        <v>25</v>
      </c>
      <c r="N79" s="57" t="s">
        <v>25</v>
      </c>
      <c r="O79" s="96">
        <f>O75</f>
        <v>0</v>
      </c>
    </row>
    <row r="85" spans="7:15">
      <c r="G85" s="126">
        <f>G64+G35</f>
        <v>319310.73</v>
      </c>
      <c r="H85" s="126"/>
      <c r="I85" s="126"/>
      <c r="J85" s="126"/>
      <c r="K85" s="126">
        <f t="shared" ref="K85:O85" si="10">K64+K35</f>
        <v>332060.73</v>
      </c>
      <c r="L85" s="126"/>
      <c r="M85" s="126"/>
      <c r="N85" s="126"/>
      <c r="O85" s="126">
        <f t="shared" si="10"/>
        <v>335018.75</v>
      </c>
    </row>
    <row r="275" spans="6:7">
      <c r="F275" s="126"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176</f>
        <v>#REF!</v>
      </c>
      <c r="G275" s="126"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81">
    <mergeCell ref="A2:A4"/>
    <mergeCell ref="B2:B4"/>
    <mergeCell ref="C2:F2"/>
    <mergeCell ref="G2:J2"/>
    <mergeCell ref="K2:N2"/>
    <mergeCell ref="C3:C4"/>
    <mergeCell ref="D3:D4"/>
    <mergeCell ref="F3:F4"/>
    <mergeCell ref="G3:G4"/>
    <mergeCell ref="H3:H4"/>
    <mergeCell ref="J3:J4"/>
    <mergeCell ref="K3:K4"/>
    <mergeCell ref="L3:L4"/>
    <mergeCell ref="N3:N4"/>
    <mergeCell ref="A14:A16"/>
    <mergeCell ref="B14:B16"/>
    <mergeCell ref="C14:F14"/>
    <mergeCell ref="G14:J14"/>
    <mergeCell ref="K14:N14"/>
    <mergeCell ref="C15:C16"/>
    <mergeCell ref="D15:D16"/>
    <mergeCell ref="E15:E16"/>
    <mergeCell ref="F15:F16"/>
    <mergeCell ref="G15:G16"/>
    <mergeCell ref="I15:I16"/>
    <mergeCell ref="J15:J16"/>
    <mergeCell ref="K15:K16"/>
    <mergeCell ref="M15:M16"/>
    <mergeCell ref="N15:N16"/>
    <mergeCell ref="A27:A29"/>
    <mergeCell ref="B27:B29"/>
    <mergeCell ref="C27:C29"/>
    <mergeCell ref="D27:G27"/>
    <mergeCell ref="H27:K27"/>
    <mergeCell ref="L27:O27"/>
    <mergeCell ref="F28:F29"/>
    <mergeCell ref="H28:H29"/>
    <mergeCell ref="J28:J29"/>
    <mergeCell ref="L28:L29"/>
    <mergeCell ref="N28:N29"/>
    <mergeCell ref="A41:A43"/>
    <mergeCell ref="B41:B43"/>
    <mergeCell ref="C41:C43"/>
    <mergeCell ref="D41:G41"/>
    <mergeCell ref="H41:K41"/>
    <mergeCell ref="L41:O41"/>
    <mergeCell ref="F42:F43"/>
    <mergeCell ref="H42:H43"/>
    <mergeCell ref="J42:J43"/>
    <mergeCell ref="L42:L43"/>
    <mergeCell ref="N42:N43"/>
    <mergeCell ref="A54:A56"/>
    <mergeCell ref="B54:B56"/>
    <mergeCell ref="C54:C56"/>
    <mergeCell ref="D54:G54"/>
    <mergeCell ref="H54:K54"/>
    <mergeCell ref="L54:O54"/>
    <mergeCell ref="D55:D56"/>
    <mergeCell ref="E55:E56"/>
    <mergeCell ref="F55:F56"/>
    <mergeCell ref="H55:H56"/>
    <mergeCell ref="I55:I56"/>
    <mergeCell ref="J55:J56"/>
    <mergeCell ref="L55:L56"/>
    <mergeCell ref="M55:M56"/>
    <mergeCell ref="N55:N56"/>
    <mergeCell ref="A71:A73"/>
    <mergeCell ref="B71:B73"/>
    <mergeCell ref="C71:C73"/>
    <mergeCell ref="D71:G71"/>
    <mergeCell ref="H71:K71"/>
    <mergeCell ref="L71:O71"/>
    <mergeCell ref="D72:D73"/>
    <mergeCell ref="E72:E73"/>
    <mergeCell ref="F72:F73"/>
    <mergeCell ref="H72:H73"/>
    <mergeCell ref="I72:I73"/>
    <mergeCell ref="J72:J73"/>
    <mergeCell ref="L72:L73"/>
    <mergeCell ref="M72:M73"/>
    <mergeCell ref="N72:N73"/>
  </mergeCells>
  <pageMargins left="0.70866141732283472" right="0.70866141732283472" top="0.74803149606299213" bottom="0.74803149606299213" header="0.31496062992125984" footer="0.31496062992125984"/>
  <pageSetup paperSize="9" scale="4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AC501"/>
  <sheetViews>
    <sheetView view="pageBreakPreview" topLeftCell="B370" zoomScale="70" zoomScaleNormal="85" zoomScaleSheetLayoutView="70" workbookViewId="0">
      <selection activeCell="R409" sqref="R409"/>
    </sheetView>
  </sheetViews>
  <sheetFormatPr defaultColWidth="9.140625" defaultRowHeight="15"/>
  <cols>
    <col min="1" max="1" width="0" style="120" hidden="1" customWidth="1"/>
    <col min="2" max="2" width="9.28515625" style="29" customWidth="1"/>
    <col min="3" max="3" width="37.42578125" style="29" customWidth="1"/>
    <col min="4" max="4" width="12.42578125" style="29" bestFit="1" customWidth="1"/>
    <col min="5" max="5" width="14.140625" style="29" customWidth="1"/>
    <col min="6" max="6" width="15.5703125" style="29" bestFit="1" customWidth="1"/>
    <col min="7" max="7" width="15.85546875" style="29" bestFit="1" customWidth="1"/>
    <col min="8" max="8" width="15" style="29" bestFit="1" customWidth="1"/>
    <col min="9" max="9" width="15.42578125" style="29" bestFit="1" customWidth="1"/>
    <col min="10" max="10" width="14" style="29" bestFit="1" customWidth="1"/>
    <col min="11" max="11" width="14" style="29" customWidth="1"/>
    <col min="12" max="12" width="12" style="29" customWidth="1"/>
    <col min="13" max="13" width="14.85546875" style="29" bestFit="1" customWidth="1"/>
    <col min="14" max="14" width="10.7109375" style="29" bestFit="1" customWidth="1"/>
    <col min="15" max="15" width="11.7109375" style="29" bestFit="1" customWidth="1"/>
    <col min="16" max="16" width="14.7109375" style="29" bestFit="1" customWidth="1"/>
    <col min="17" max="17" width="5" style="29" customWidth="1"/>
    <col min="18" max="18" width="27.42578125" style="29" customWidth="1"/>
    <col min="19" max="19" width="14.42578125" style="29" customWidth="1"/>
    <col min="20" max="20" width="9.140625" style="29"/>
    <col min="21" max="21" width="14.7109375" style="120" customWidth="1"/>
    <col min="22" max="29" width="14.7109375" style="29" customWidth="1"/>
    <col min="30" max="16384" width="9.140625" style="29"/>
  </cols>
  <sheetData>
    <row r="1" spans="2:17" ht="15.75">
      <c r="B1" s="1" t="s">
        <v>398</v>
      </c>
    </row>
    <row r="2" spans="2:17">
      <c r="Q2" s="29" t="s">
        <v>399</v>
      </c>
    </row>
    <row r="3" spans="2:17" s="114" customFormat="1">
      <c r="B3" s="114" t="s">
        <v>240</v>
      </c>
      <c r="M3" s="29"/>
      <c r="N3" s="29"/>
      <c r="O3" s="29"/>
    </row>
    <row r="4" spans="2:17">
      <c r="B4" s="29" t="s">
        <v>241</v>
      </c>
    </row>
    <row r="5" spans="2:17">
      <c r="B5" s="29" t="s">
        <v>242</v>
      </c>
    </row>
    <row r="6" spans="2:17">
      <c r="B6" s="116" t="s">
        <v>355</v>
      </c>
    </row>
    <row r="7" spans="2:17">
      <c r="B7" s="1046" t="s">
        <v>176</v>
      </c>
      <c r="C7" s="1046" t="s">
        <v>244</v>
      </c>
      <c r="D7" s="1046" t="s">
        <v>213</v>
      </c>
      <c r="E7" s="1046"/>
      <c r="F7" s="1046"/>
      <c r="G7" s="1046" t="s">
        <v>214</v>
      </c>
      <c r="H7" s="1046"/>
      <c r="I7" s="1046"/>
      <c r="J7" s="1046" t="s">
        <v>215</v>
      </c>
      <c r="K7" s="1046"/>
      <c r="L7" s="1046"/>
    </row>
    <row r="8" spans="2:17">
      <c r="B8" s="1046"/>
      <c r="C8" s="1046"/>
      <c r="D8" s="1046" t="s">
        <v>383</v>
      </c>
      <c r="E8" s="57" t="s">
        <v>366</v>
      </c>
      <c r="F8" s="1046" t="s">
        <v>247</v>
      </c>
      <c r="G8" s="1046" t="s">
        <v>383</v>
      </c>
      <c r="H8" s="57" t="s">
        <v>400</v>
      </c>
      <c r="I8" s="1046" t="s">
        <v>247</v>
      </c>
      <c r="J8" s="1046" t="s">
        <v>383</v>
      </c>
      <c r="K8" s="57" t="s">
        <v>366</v>
      </c>
      <c r="L8" s="1046" t="s">
        <v>247</v>
      </c>
    </row>
    <row r="9" spans="2:17">
      <c r="B9" s="1046"/>
      <c r="C9" s="1046"/>
      <c r="D9" s="1046"/>
      <c r="E9" s="57" t="s">
        <v>401</v>
      </c>
      <c r="F9" s="1046"/>
      <c r="G9" s="1046"/>
      <c r="H9" s="57" t="s">
        <v>401</v>
      </c>
      <c r="I9" s="1046"/>
      <c r="J9" s="1046"/>
      <c r="K9" s="57" t="s">
        <v>401</v>
      </c>
      <c r="L9" s="1046"/>
    </row>
    <row r="10" spans="2:17">
      <c r="B10" s="57">
        <v>1</v>
      </c>
      <c r="C10" s="81" t="s">
        <v>402</v>
      </c>
      <c r="D10" s="57" t="s">
        <v>25</v>
      </c>
      <c r="E10" s="57" t="s">
        <v>25</v>
      </c>
      <c r="F10" s="57" t="s">
        <v>25</v>
      </c>
      <c r="G10" s="57" t="s">
        <v>25</v>
      </c>
      <c r="H10" s="57" t="s">
        <v>25</v>
      </c>
      <c r="I10" s="57" t="s">
        <v>25</v>
      </c>
      <c r="J10" s="57" t="s">
        <v>25</v>
      </c>
      <c r="K10" s="57" t="s">
        <v>25</v>
      </c>
      <c r="L10" s="57" t="s">
        <v>25</v>
      </c>
    </row>
    <row r="11" spans="2:17">
      <c r="B11" s="57" t="s">
        <v>177</v>
      </c>
      <c r="C11" s="127" t="s">
        <v>403</v>
      </c>
      <c r="D11" s="57">
        <v>26</v>
      </c>
      <c r="E11" s="57">
        <v>317</v>
      </c>
      <c r="F11" s="74">
        <v>0</v>
      </c>
      <c r="G11" s="57">
        <v>26</v>
      </c>
      <c r="H11" s="57">
        <v>317</v>
      </c>
      <c r="I11" s="74">
        <v>0</v>
      </c>
      <c r="J11" s="57">
        <v>26</v>
      </c>
      <c r="K11" s="57">
        <v>317</v>
      </c>
      <c r="L11" s="74">
        <v>0</v>
      </c>
    </row>
    <row r="12" spans="2:17" ht="25.5">
      <c r="B12" s="57">
        <v>2</v>
      </c>
      <c r="C12" s="81" t="s">
        <v>404</v>
      </c>
      <c r="D12" s="57" t="s">
        <v>25</v>
      </c>
      <c r="E12" s="57" t="s">
        <v>25</v>
      </c>
      <c r="F12" s="57" t="s">
        <v>25</v>
      </c>
      <c r="G12" s="57" t="s">
        <v>25</v>
      </c>
      <c r="H12" s="57" t="s">
        <v>25</v>
      </c>
      <c r="I12" s="57" t="s">
        <v>25</v>
      </c>
      <c r="J12" s="57" t="s">
        <v>25</v>
      </c>
      <c r="K12" s="57" t="s">
        <v>25</v>
      </c>
      <c r="L12" s="57" t="s">
        <v>25</v>
      </c>
    </row>
    <row r="13" spans="2:17">
      <c r="B13" s="57" t="s">
        <v>405</v>
      </c>
      <c r="C13" s="127" t="s">
        <v>403</v>
      </c>
      <c r="D13" s="57">
        <v>42</v>
      </c>
      <c r="E13" s="57">
        <v>230</v>
      </c>
      <c r="F13" s="74">
        <v>0</v>
      </c>
      <c r="G13" s="57">
        <v>42</v>
      </c>
      <c r="H13" s="57">
        <v>230</v>
      </c>
      <c r="I13" s="74">
        <v>0</v>
      </c>
      <c r="J13" s="57">
        <v>42</v>
      </c>
      <c r="K13" s="57">
        <v>230</v>
      </c>
      <c r="L13" s="74">
        <v>0</v>
      </c>
    </row>
    <row r="14" spans="2:17">
      <c r="B14" s="57"/>
      <c r="C14" s="108" t="s">
        <v>254</v>
      </c>
      <c r="D14" s="80">
        <f>D11+D13</f>
        <v>68</v>
      </c>
      <c r="E14" s="57" t="s">
        <v>25</v>
      </c>
      <c r="F14" s="79">
        <f>F11+F13</f>
        <v>0</v>
      </c>
      <c r="G14" s="80">
        <f>G11+G13</f>
        <v>68</v>
      </c>
      <c r="H14" s="57" t="s">
        <v>25</v>
      </c>
      <c r="I14" s="79">
        <f>I11+I13</f>
        <v>0</v>
      </c>
      <c r="J14" s="80">
        <f>J11+J13</f>
        <v>68</v>
      </c>
      <c r="K14" s="57" t="s">
        <v>25</v>
      </c>
      <c r="L14" s="79">
        <f>L11+L13</f>
        <v>0</v>
      </c>
    </row>
    <row r="16" spans="2:17" ht="15.75">
      <c r="B16" s="1" t="s">
        <v>406</v>
      </c>
    </row>
    <row r="17" spans="2:15">
      <c r="B17" s="29" t="s">
        <v>262</v>
      </c>
    </row>
    <row r="18" spans="2:15">
      <c r="B18" s="116" t="s">
        <v>263</v>
      </c>
    </row>
    <row r="19" spans="2:15">
      <c r="B19" s="1046" t="s">
        <v>176</v>
      </c>
      <c r="C19" s="1046" t="s">
        <v>244</v>
      </c>
      <c r="D19" s="1046" t="s">
        <v>264</v>
      </c>
      <c r="E19" s="1046"/>
      <c r="F19" s="1046"/>
      <c r="G19" s="1046" t="s">
        <v>265</v>
      </c>
      <c r="H19" s="1046"/>
      <c r="I19" s="1046"/>
      <c r="J19" s="1046" t="s">
        <v>266</v>
      </c>
      <c r="K19" s="1046"/>
      <c r="L19" s="1046"/>
    </row>
    <row r="20" spans="2:15">
      <c r="B20" s="1046"/>
      <c r="C20" s="1046"/>
      <c r="D20" s="1106" t="s">
        <v>383</v>
      </c>
      <c r="E20" s="57" t="s">
        <v>400</v>
      </c>
      <c r="F20" s="1046" t="s">
        <v>247</v>
      </c>
      <c r="G20" s="1046" t="s">
        <v>383</v>
      </c>
      <c r="H20" s="57" t="s">
        <v>366</v>
      </c>
      <c r="I20" s="1046" t="s">
        <v>247</v>
      </c>
      <c r="J20" s="1046" t="s">
        <v>383</v>
      </c>
      <c r="K20" s="57" t="s">
        <v>366</v>
      </c>
      <c r="L20" s="1046" t="s">
        <v>247</v>
      </c>
    </row>
    <row r="21" spans="2:15">
      <c r="B21" s="1046"/>
      <c r="C21" s="1046"/>
      <c r="D21" s="1106"/>
      <c r="E21" s="57" t="s">
        <v>407</v>
      </c>
      <c r="F21" s="1046"/>
      <c r="G21" s="1046"/>
      <c r="H21" s="57" t="s">
        <v>401</v>
      </c>
      <c r="I21" s="1046"/>
      <c r="J21" s="1046"/>
      <c r="K21" s="57" t="s">
        <v>401</v>
      </c>
      <c r="L21" s="1046"/>
    </row>
    <row r="22" spans="2:15">
      <c r="B22" s="57"/>
      <c r="C22" s="57"/>
      <c r="D22" s="90"/>
      <c r="E22" s="90"/>
      <c r="F22" s="90"/>
      <c r="G22" s="90"/>
      <c r="H22" s="90"/>
      <c r="I22" s="90"/>
      <c r="J22" s="90"/>
      <c r="K22" s="90"/>
      <c r="L22" s="90"/>
    </row>
    <row r="24" spans="2:15" ht="15.75">
      <c r="B24" s="1" t="s">
        <v>408</v>
      </c>
    </row>
    <row r="26" spans="2:15" ht="15.75">
      <c r="B26" s="1" t="s">
        <v>409</v>
      </c>
    </row>
    <row r="28" spans="2:15" s="110" customFormat="1">
      <c r="B28" s="110" t="s">
        <v>235</v>
      </c>
      <c r="C28" s="110" t="s">
        <v>479</v>
      </c>
    </row>
    <row r="29" spans="2:15">
      <c r="B29" s="29" t="s">
        <v>236</v>
      </c>
    </row>
    <row r="30" spans="2:15">
      <c r="B30" s="29" t="s">
        <v>237</v>
      </c>
    </row>
    <row r="31" spans="2:15">
      <c r="B31" s="116" t="s">
        <v>410</v>
      </c>
    </row>
    <row r="32" spans="2:15">
      <c r="B32" s="1046" t="s">
        <v>176</v>
      </c>
      <c r="C32" s="1046" t="s">
        <v>244</v>
      </c>
      <c r="D32" s="1046" t="s">
        <v>213</v>
      </c>
      <c r="E32" s="1046"/>
      <c r="F32" s="1046"/>
      <c r="G32" s="1046"/>
      <c r="H32" s="1046" t="s">
        <v>214</v>
      </c>
      <c r="I32" s="1046"/>
      <c r="J32" s="1046"/>
      <c r="K32" s="1046"/>
      <c r="L32" s="1046" t="s">
        <v>215</v>
      </c>
      <c r="M32" s="1046"/>
      <c r="N32" s="1046"/>
      <c r="O32" s="1046"/>
    </row>
    <row r="33" spans="2:15" ht="25.5">
      <c r="B33" s="1046"/>
      <c r="C33" s="1046"/>
      <c r="D33" s="1046" t="s">
        <v>411</v>
      </c>
      <c r="E33" s="57" t="s">
        <v>412</v>
      </c>
      <c r="F33" s="1103" t="s">
        <v>413</v>
      </c>
      <c r="G33" s="1103" t="s">
        <v>247</v>
      </c>
      <c r="H33" s="1103" t="s">
        <v>411</v>
      </c>
      <c r="I33" s="57" t="s">
        <v>412</v>
      </c>
      <c r="J33" s="1046" t="s">
        <v>413</v>
      </c>
      <c r="K33" s="1046" t="s">
        <v>247</v>
      </c>
      <c r="L33" s="1046" t="s">
        <v>411</v>
      </c>
      <c r="M33" s="57" t="s">
        <v>412</v>
      </c>
      <c r="N33" s="1046" t="s">
        <v>413</v>
      </c>
      <c r="O33" s="1046" t="s">
        <v>247</v>
      </c>
    </row>
    <row r="34" spans="2:15">
      <c r="B34" s="1046"/>
      <c r="C34" s="1046"/>
      <c r="D34" s="1046"/>
      <c r="E34" s="57" t="s">
        <v>414</v>
      </c>
      <c r="F34" s="1103"/>
      <c r="G34" s="1103"/>
      <c r="H34" s="1103"/>
      <c r="I34" s="57" t="s">
        <v>414</v>
      </c>
      <c r="J34" s="1046"/>
      <c r="K34" s="1046"/>
      <c r="L34" s="1046"/>
      <c r="M34" s="57" t="s">
        <v>414</v>
      </c>
      <c r="N34" s="1046"/>
      <c r="O34" s="1046"/>
    </row>
    <row r="35" spans="2:15">
      <c r="B35" s="57">
        <v>1</v>
      </c>
      <c r="C35" s="81" t="s">
        <v>415</v>
      </c>
      <c r="D35" s="57">
        <v>1</v>
      </c>
      <c r="E35" s="107">
        <f>G35/F35</f>
        <v>2905</v>
      </c>
      <c r="F35" s="258">
        <v>150</v>
      </c>
      <c r="G35" s="286">
        <v>435750</v>
      </c>
      <c r="H35" s="257">
        <v>1</v>
      </c>
      <c r="I35" s="107">
        <f>K35/J35</f>
        <v>1435.7</v>
      </c>
      <c r="J35" s="118">
        <v>150</v>
      </c>
      <c r="K35" s="74">
        <v>215351.84</v>
      </c>
      <c r="L35" s="57">
        <v>1</v>
      </c>
      <c r="M35" s="107">
        <f>O35/N35</f>
        <v>1235</v>
      </c>
      <c r="N35" s="118">
        <v>150</v>
      </c>
      <c r="O35" s="74">
        <v>185247.25</v>
      </c>
    </row>
    <row r="36" spans="2:15">
      <c r="B36" s="117"/>
      <c r="C36" s="128" t="s">
        <v>254</v>
      </c>
      <c r="D36" s="37">
        <f>D35</f>
        <v>1</v>
      </c>
      <c r="E36" s="262">
        <f t="shared" ref="E36:F36" si="0">E35</f>
        <v>2905</v>
      </c>
      <c r="F36" s="298">
        <f t="shared" si="0"/>
        <v>150</v>
      </c>
      <c r="G36" s="299">
        <f t="shared" ref="G36:O36" si="1">G35</f>
        <v>435750</v>
      </c>
      <c r="H36" s="292">
        <f t="shared" si="1"/>
        <v>1</v>
      </c>
      <c r="I36" s="37">
        <f t="shared" si="1"/>
        <v>1435.7</v>
      </c>
      <c r="J36" s="37">
        <f t="shared" si="1"/>
        <v>150</v>
      </c>
      <c r="K36" s="100">
        <f t="shared" si="1"/>
        <v>215351.84</v>
      </c>
      <c r="L36" s="37">
        <f t="shared" si="1"/>
        <v>1</v>
      </c>
      <c r="M36" s="37">
        <f t="shared" si="1"/>
        <v>1235</v>
      </c>
      <c r="N36" s="37">
        <f t="shared" si="1"/>
        <v>150</v>
      </c>
      <c r="O36" s="100">
        <f t="shared" si="1"/>
        <v>185247.25</v>
      </c>
    </row>
    <row r="37" spans="2:15">
      <c r="G37" s="75"/>
      <c r="K37" s="75"/>
      <c r="O37" s="75"/>
    </row>
    <row r="38" spans="2:15" s="110" customFormat="1">
      <c r="B38" s="114" t="s">
        <v>240</v>
      </c>
      <c r="C38" s="114"/>
      <c r="D38" s="114"/>
      <c r="E38" s="114"/>
      <c r="F38" s="114"/>
      <c r="G38" s="114"/>
      <c r="H38" s="114"/>
      <c r="I38" s="114"/>
      <c r="J38" s="114"/>
      <c r="K38" s="114"/>
      <c r="L38" s="114"/>
      <c r="M38" s="114"/>
      <c r="N38" s="114"/>
      <c r="O38" s="114"/>
    </row>
    <row r="39" spans="2:15">
      <c r="B39" s="29" t="s">
        <v>241</v>
      </c>
    </row>
    <row r="40" spans="2:15">
      <c r="B40" s="29" t="s">
        <v>242</v>
      </c>
    </row>
    <row r="41" spans="2:15">
      <c r="B41" s="116" t="s">
        <v>410</v>
      </c>
    </row>
    <row r="42" spans="2:15">
      <c r="B42" s="1046" t="s">
        <v>176</v>
      </c>
      <c r="C42" s="1046" t="s">
        <v>244</v>
      </c>
      <c r="D42" s="1046" t="s">
        <v>213</v>
      </c>
      <c r="E42" s="1046"/>
      <c r="F42" s="1046"/>
      <c r="G42" s="1046"/>
      <c r="H42" s="1046" t="s">
        <v>214</v>
      </c>
      <c r="I42" s="1046"/>
      <c r="J42" s="1046"/>
      <c r="K42" s="1046"/>
      <c r="L42" s="1046" t="s">
        <v>215</v>
      </c>
      <c r="M42" s="1046"/>
      <c r="N42" s="1046"/>
      <c r="O42" s="1046"/>
    </row>
    <row r="43" spans="2:15" ht="25.5">
      <c r="B43" s="1046"/>
      <c r="C43" s="1046"/>
      <c r="D43" s="1046" t="s">
        <v>411</v>
      </c>
      <c r="E43" s="57" t="s">
        <v>412</v>
      </c>
      <c r="F43" s="1046" t="s">
        <v>413</v>
      </c>
      <c r="G43" s="1046" t="s">
        <v>247</v>
      </c>
      <c r="H43" s="1046" t="s">
        <v>411</v>
      </c>
      <c r="I43" s="57" t="s">
        <v>412</v>
      </c>
      <c r="J43" s="1046" t="s">
        <v>413</v>
      </c>
      <c r="K43" s="1046" t="s">
        <v>247</v>
      </c>
      <c r="L43" s="1046" t="s">
        <v>411</v>
      </c>
      <c r="M43" s="57" t="s">
        <v>412</v>
      </c>
      <c r="N43" s="1046" t="s">
        <v>413</v>
      </c>
      <c r="O43" s="1046" t="s">
        <v>247</v>
      </c>
    </row>
    <row r="44" spans="2:15">
      <c r="B44" s="1046"/>
      <c r="C44" s="1046"/>
      <c r="D44" s="1046"/>
      <c r="E44" s="57" t="s">
        <v>414</v>
      </c>
      <c r="F44" s="1046"/>
      <c r="G44" s="1046"/>
      <c r="H44" s="1046"/>
      <c r="I44" s="57" t="s">
        <v>414</v>
      </c>
      <c r="J44" s="1046"/>
      <c r="K44" s="1046"/>
      <c r="L44" s="1046"/>
      <c r="M44" s="57" t="s">
        <v>414</v>
      </c>
      <c r="N44" s="1046"/>
      <c r="O44" s="1046"/>
    </row>
    <row r="45" spans="2:15">
      <c r="B45" s="57">
        <v>1</v>
      </c>
      <c r="C45" s="81" t="s">
        <v>415</v>
      </c>
      <c r="D45" s="57">
        <v>1</v>
      </c>
      <c r="E45" s="107">
        <f>G45/F45</f>
        <v>2388</v>
      </c>
      <c r="F45" s="118">
        <v>150</v>
      </c>
      <c r="G45" s="74">
        <v>358197.09</v>
      </c>
      <c r="H45" s="57">
        <v>1</v>
      </c>
      <c r="I45" s="107">
        <f>K45/J45</f>
        <v>3002.5</v>
      </c>
      <c r="J45" s="118">
        <v>150</v>
      </c>
      <c r="K45" s="74">
        <v>450378.96</v>
      </c>
      <c r="L45" s="57">
        <v>1</v>
      </c>
      <c r="M45" s="107">
        <f>O45/N45</f>
        <v>3203.2</v>
      </c>
      <c r="N45" s="118">
        <v>150</v>
      </c>
      <c r="O45" s="74">
        <v>480483.55</v>
      </c>
    </row>
    <row r="46" spans="2:15">
      <c r="B46" s="117"/>
      <c r="C46" s="128" t="s">
        <v>254</v>
      </c>
      <c r="D46" s="37">
        <f>D45</f>
        <v>1</v>
      </c>
      <c r="E46" s="262">
        <f>E45</f>
        <v>2388</v>
      </c>
      <c r="F46" s="129">
        <f t="shared" ref="F46" si="2">F45</f>
        <v>150</v>
      </c>
      <c r="G46" s="158">
        <f>G45</f>
        <v>358197.09</v>
      </c>
      <c r="H46" s="37">
        <f>H45</f>
        <v>1</v>
      </c>
      <c r="I46" s="37">
        <f t="shared" ref="I46:J46" si="3">I45</f>
        <v>3002.5</v>
      </c>
      <c r="J46" s="37">
        <f t="shared" si="3"/>
        <v>150</v>
      </c>
      <c r="K46" s="100">
        <f>K45</f>
        <v>450378.96</v>
      </c>
      <c r="L46" s="37">
        <f>L45</f>
        <v>1</v>
      </c>
      <c r="M46" s="37">
        <f t="shared" ref="M46:N46" si="4">M45</f>
        <v>3203.2</v>
      </c>
      <c r="N46" s="37">
        <f t="shared" si="4"/>
        <v>150</v>
      </c>
      <c r="O46" s="100">
        <f>O45</f>
        <v>480483.55</v>
      </c>
    </row>
    <row r="47" spans="2:15">
      <c r="G47" s="75"/>
      <c r="K47" s="75"/>
      <c r="O47" s="75"/>
    </row>
    <row r="48" spans="2:15" ht="15.75">
      <c r="B48" s="1" t="s">
        <v>416</v>
      </c>
    </row>
    <row r="50" spans="2:17" s="110" customFormat="1">
      <c r="B50" s="110" t="s">
        <v>235</v>
      </c>
      <c r="N50" s="29"/>
      <c r="O50" s="29"/>
    </row>
    <row r="51" spans="2:17">
      <c r="B51" s="29" t="s">
        <v>236</v>
      </c>
    </row>
    <row r="52" spans="2:17">
      <c r="B52" s="29" t="s">
        <v>237</v>
      </c>
    </row>
    <row r="53" spans="2:17">
      <c r="B53" s="116" t="s">
        <v>417</v>
      </c>
    </row>
    <row r="54" spans="2:17">
      <c r="B54" s="1046" t="s">
        <v>176</v>
      </c>
      <c r="C54" s="1046" t="s">
        <v>244</v>
      </c>
      <c r="D54" s="1046" t="s">
        <v>418</v>
      </c>
      <c r="E54" s="1046" t="s">
        <v>213</v>
      </c>
      <c r="F54" s="1046"/>
      <c r="G54" s="1046"/>
      <c r="H54" s="1046" t="s">
        <v>214</v>
      </c>
      <c r="I54" s="1046"/>
      <c r="J54" s="1046"/>
      <c r="K54" s="1046" t="s">
        <v>215</v>
      </c>
      <c r="L54" s="1046"/>
      <c r="M54" s="1046"/>
    </row>
    <row r="55" spans="2:17">
      <c r="B55" s="1046"/>
      <c r="C55" s="1046"/>
      <c r="D55" s="1046"/>
      <c r="E55" s="1046" t="s">
        <v>419</v>
      </c>
      <c r="F55" s="1046" t="s">
        <v>307</v>
      </c>
      <c r="G55" s="1046" t="s">
        <v>247</v>
      </c>
      <c r="H55" s="1046" t="s">
        <v>419</v>
      </c>
      <c r="I55" s="1046" t="s">
        <v>307</v>
      </c>
      <c r="J55" s="1046" t="s">
        <v>247</v>
      </c>
      <c r="K55" s="1046" t="s">
        <v>419</v>
      </c>
      <c r="L55" s="1046" t="s">
        <v>307</v>
      </c>
      <c r="M55" s="1046" t="s">
        <v>247</v>
      </c>
    </row>
    <row r="56" spans="2:17">
      <c r="B56" s="1046"/>
      <c r="C56" s="1046"/>
      <c r="D56" s="1046"/>
      <c r="E56" s="1046"/>
      <c r="F56" s="1046"/>
      <c r="G56" s="1046"/>
      <c r="H56" s="1046"/>
      <c r="I56" s="1046"/>
      <c r="J56" s="1046"/>
      <c r="K56" s="1046"/>
      <c r="L56" s="1046"/>
      <c r="M56" s="1046"/>
    </row>
    <row r="57" spans="2:17" ht="38.25">
      <c r="B57" s="57">
        <v>1</v>
      </c>
      <c r="C57" s="81" t="s">
        <v>420</v>
      </c>
      <c r="D57" s="57" t="s">
        <v>421</v>
      </c>
      <c r="E57" s="57">
        <v>12</v>
      </c>
      <c r="F57" s="74">
        <f t="shared" ref="F57:F66" si="5">G57/E57</f>
        <v>2111.4499999999998</v>
      </c>
      <c r="G57" s="74">
        <v>25337.4</v>
      </c>
      <c r="H57" s="57">
        <v>12</v>
      </c>
      <c r="I57" s="74">
        <v>1191.19</v>
      </c>
      <c r="J57" s="74">
        <v>17950.7</v>
      </c>
      <c r="K57" s="57">
        <v>12</v>
      </c>
      <c r="L57" s="74">
        <v>1191.19</v>
      </c>
      <c r="M57" s="74">
        <v>17950.7</v>
      </c>
    </row>
    <row r="58" spans="2:17">
      <c r="B58" s="57">
        <v>2</v>
      </c>
      <c r="C58" s="81" t="s">
        <v>422</v>
      </c>
      <c r="D58" s="57" t="s">
        <v>397</v>
      </c>
      <c r="E58" s="57">
        <v>12</v>
      </c>
      <c r="F58" s="74">
        <f t="shared" si="5"/>
        <v>4347.6000000000004</v>
      </c>
      <c r="G58" s="74">
        <v>52171.199999999997</v>
      </c>
      <c r="H58" s="57">
        <v>12</v>
      </c>
      <c r="I58" s="74">
        <f t="shared" ref="I58:I63" si="6">J58/H58</f>
        <v>4347.6000000000004</v>
      </c>
      <c r="J58" s="74">
        <v>52171.199999999997</v>
      </c>
      <c r="K58" s="57">
        <v>12</v>
      </c>
      <c r="L58" s="74">
        <f t="shared" ref="L58:L63" si="7">M58/K58</f>
        <v>4347.6000000000004</v>
      </c>
      <c r="M58" s="74">
        <v>52171.199999999997</v>
      </c>
    </row>
    <row r="59" spans="2:17">
      <c r="B59" s="57">
        <v>3</v>
      </c>
      <c r="C59" s="81" t="s">
        <v>423</v>
      </c>
      <c r="D59" s="57" t="s">
        <v>397</v>
      </c>
      <c r="E59" s="57">
        <v>0</v>
      </c>
      <c r="F59" s="74">
        <v>0</v>
      </c>
      <c r="G59" s="74">
        <v>0</v>
      </c>
      <c r="H59" s="57">
        <v>1</v>
      </c>
      <c r="I59" s="74">
        <f t="shared" si="6"/>
        <v>100000</v>
      </c>
      <c r="J59" s="74">
        <v>100000</v>
      </c>
      <c r="K59" s="57">
        <v>1</v>
      </c>
      <c r="L59" s="74">
        <f t="shared" si="7"/>
        <v>100000</v>
      </c>
      <c r="M59" s="74">
        <v>100000</v>
      </c>
    </row>
    <row r="60" spans="2:17" ht="25.5">
      <c r="B60" s="57">
        <v>4</v>
      </c>
      <c r="C60" s="81" t="s">
        <v>424</v>
      </c>
      <c r="D60" s="57" t="s">
        <v>397</v>
      </c>
      <c r="E60" s="57">
        <v>1</v>
      </c>
      <c r="F60" s="74">
        <f t="shared" si="5"/>
        <v>11515.25</v>
      </c>
      <c r="G60" s="74">
        <f>14403.3-2888.05</f>
        <v>11515.25</v>
      </c>
      <c r="H60" s="57">
        <v>1</v>
      </c>
      <c r="I60" s="74">
        <f t="shared" si="6"/>
        <v>21790</v>
      </c>
      <c r="J60" s="74">
        <v>21790</v>
      </c>
      <c r="K60" s="57">
        <v>1</v>
      </c>
      <c r="L60" s="74">
        <f t="shared" si="7"/>
        <v>21790</v>
      </c>
      <c r="M60" s="74">
        <v>21790</v>
      </c>
    </row>
    <row r="61" spans="2:17">
      <c r="B61" s="57">
        <v>5</v>
      </c>
      <c r="C61" s="81" t="s">
        <v>425</v>
      </c>
      <c r="D61" s="57" t="s">
        <v>397</v>
      </c>
      <c r="E61" s="57">
        <v>12</v>
      </c>
      <c r="F61" s="74">
        <f t="shared" si="5"/>
        <v>3058.15</v>
      </c>
      <c r="G61" s="74">
        <v>36697.800000000003</v>
      </c>
      <c r="H61" s="57">
        <v>12</v>
      </c>
      <c r="I61" s="74">
        <f t="shared" si="6"/>
        <v>2780.14</v>
      </c>
      <c r="J61" s="74">
        <v>33361.68</v>
      </c>
      <c r="K61" s="57">
        <v>12</v>
      </c>
      <c r="L61" s="74">
        <f t="shared" si="7"/>
        <v>2780.14</v>
      </c>
      <c r="M61" s="74">
        <v>33361.68</v>
      </c>
    </row>
    <row r="62" spans="2:17" ht="25.5">
      <c r="B62" s="57">
        <v>6</v>
      </c>
      <c r="C62" s="81" t="s">
        <v>426</v>
      </c>
      <c r="D62" s="57" t="s">
        <v>397</v>
      </c>
      <c r="E62" s="57">
        <v>12</v>
      </c>
      <c r="F62" s="74">
        <f t="shared" si="5"/>
        <v>8333.33</v>
      </c>
      <c r="G62" s="74">
        <v>99999.96</v>
      </c>
      <c r="H62" s="57">
        <v>12</v>
      </c>
      <c r="I62" s="74">
        <f t="shared" si="6"/>
        <v>8333.33</v>
      </c>
      <c r="J62" s="74">
        <v>99999.96</v>
      </c>
      <c r="K62" s="57">
        <v>12</v>
      </c>
      <c r="L62" s="74">
        <f t="shared" si="7"/>
        <v>8333.33</v>
      </c>
      <c r="M62" s="74">
        <v>99999.96</v>
      </c>
    </row>
    <row r="63" spans="2:17" ht="38.25">
      <c r="B63" s="57">
        <v>7</v>
      </c>
      <c r="C63" s="81" t="s">
        <v>427</v>
      </c>
      <c r="D63" s="57" t="s">
        <v>397</v>
      </c>
      <c r="E63" s="57">
        <v>0</v>
      </c>
      <c r="F63" s="74">
        <v>0</v>
      </c>
      <c r="G63" s="74">
        <v>0</v>
      </c>
      <c r="H63" s="57">
        <v>1</v>
      </c>
      <c r="I63" s="74">
        <f t="shared" si="6"/>
        <v>9933.32</v>
      </c>
      <c r="J63" s="74">
        <v>9933.32</v>
      </c>
      <c r="K63" s="57">
        <v>1</v>
      </c>
      <c r="L63" s="74">
        <f t="shared" si="7"/>
        <v>9933.32</v>
      </c>
      <c r="M63" s="74">
        <v>9933.32</v>
      </c>
    </row>
    <row r="64" spans="2:17" s="120" customFormat="1" ht="51">
      <c r="B64" s="253">
        <v>8</v>
      </c>
      <c r="C64" s="254" t="s">
        <v>537</v>
      </c>
      <c r="D64" s="253" t="s">
        <v>397</v>
      </c>
      <c r="E64" s="253">
        <v>1</v>
      </c>
      <c r="F64" s="158">
        <f t="shared" si="5"/>
        <v>32389</v>
      </c>
      <c r="G64" s="158">
        <v>32389</v>
      </c>
      <c r="H64" s="253">
        <v>0</v>
      </c>
      <c r="I64" s="158">
        <v>0</v>
      </c>
      <c r="J64" s="158">
        <v>0</v>
      </c>
      <c r="K64" s="253">
        <v>0</v>
      </c>
      <c r="L64" s="158">
        <v>0</v>
      </c>
      <c r="M64" s="158">
        <v>0</v>
      </c>
      <c r="Q64" s="120" t="s">
        <v>428</v>
      </c>
    </row>
    <row r="65" spans="2:15" s="196" customFormat="1" ht="38.25">
      <c r="B65" s="250">
        <v>12</v>
      </c>
      <c r="C65" s="255" t="s">
        <v>429</v>
      </c>
      <c r="D65" s="250" t="s">
        <v>397</v>
      </c>
      <c r="E65" s="250">
        <v>0</v>
      </c>
      <c r="F65" s="256">
        <v>0</v>
      </c>
      <c r="G65" s="256">
        <v>0</v>
      </c>
      <c r="H65" s="250">
        <v>0</v>
      </c>
      <c r="I65" s="256">
        <v>0</v>
      </c>
      <c r="J65" s="256">
        <v>0</v>
      </c>
      <c r="K65" s="250">
        <v>0</v>
      </c>
      <c r="L65" s="256">
        <v>0</v>
      </c>
      <c r="M65" s="256">
        <v>0</v>
      </c>
    </row>
    <row r="66" spans="2:15" ht="25.5">
      <c r="B66" s="257">
        <v>9</v>
      </c>
      <c r="C66" s="281" t="s">
        <v>430</v>
      </c>
      <c r="D66" s="257" t="s">
        <v>397</v>
      </c>
      <c r="E66" s="291">
        <v>12</v>
      </c>
      <c r="F66" s="286">
        <f t="shared" si="5"/>
        <v>14909</v>
      </c>
      <c r="G66" s="286">
        <f>90000+88908</f>
        <v>178908</v>
      </c>
      <c r="H66" s="291">
        <f>J66/I66</f>
        <v>12</v>
      </c>
      <c r="I66" s="286">
        <v>15000</v>
      </c>
      <c r="J66" s="74">
        <v>180000</v>
      </c>
      <c r="K66" s="105">
        <f>M66/L66</f>
        <v>12</v>
      </c>
      <c r="L66" s="74">
        <v>15000</v>
      </c>
      <c r="M66" s="74">
        <v>180000</v>
      </c>
    </row>
    <row r="67" spans="2:15" s="120" customFormat="1" ht="25.5">
      <c r="B67" s="510">
        <v>10</v>
      </c>
      <c r="C67" s="511" t="s">
        <v>431</v>
      </c>
      <c r="D67" s="510" t="s">
        <v>432</v>
      </c>
      <c r="E67" s="512">
        <v>840.6</v>
      </c>
      <c r="F67" s="513">
        <v>11400</v>
      </c>
      <c r="G67" s="513">
        <f>E67*F67</f>
        <v>9582840</v>
      </c>
      <c r="H67" s="512">
        <v>840.6</v>
      </c>
      <c r="I67" s="513">
        <v>11400</v>
      </c>
      <c r="J67" s="514">
        <f>H67*I67</f>
        <v>9582840</v>
      </c>
      <c r="K67" s="515">
        <v>840.6</v>
      </c>
      <c r="L67" s="514">
        <f>M67/K67</f>
        <v>3951.97</v>
      </c>
      <c r="M67" s="514">
        <v>3322023.42</v>
      </c>
    </row>
    <row r="68" spans="2:15" s="120" customFormat="1" ht="25.5">
      <c r="B68" s="510">
        <v>11</v>
      </c>
      <c r="C68" s="511" t="s">
        <v>431</v>
      </c>
      <c r="D68" s="510" t="s">
        <v>432</v>
      </c>
      <c r="E68" s="512">
        <v>324.39999999999998</v>
      </c>
      <c r="F68" s="513">
        <v>8772</v>
      </c>
      <c r="G68" s="513">
        <f>E68*F68</f>
        <v>2845636.8</v>
      </c>
      <c r="H68" s="512">
        <v>324.39999999999998</v>
      </c>
      <c r="I68" s="513">
        <v>8772</v>
      </c>
      <c r="J68" s="514">
        <f>H68*I68</f>
        <v>2845636.8</v>
      </c>
      <c r="K68" s="515">
        <v>324.39999999999998</v>
      </c>
      <c r="L68" s="514">
        <f>M68/K68</f>
        <v>4312.62</v>
      </c>
      <c r="M68" s="514">
        <v>1399014.96</v>
      </c>
    </row>
    <row r="69" spans="2:15" ht="38.25">
      <c r="B69" s="257">
        <v>12</v>
      </c>
      <c r="C69" s="281" t="s">
        <v>530</v>
      </c>
      <c r="D69" s="257" t="s">
        <v>432</v>
      </c>
      <c r="E69" s="295" t="s">
        <v>25</v>
      </c>
      <c r="F69" s="286" t="s">
        <v>25</v>
      </c>
      <c r="G69" s="286">
        <v>2200</v>
      </c>
      <c r="H69" s="295" t="s">
        <v>25</v>
      </c>
      <c r="I69" s="286" t="s">
        <v>25</v>
      </c>
      <c r="J69" s="74">
        <v>0</v>
      </c>
      <c r="K69" s="107" t="s">
        <v>25</v>
      </c>
      <c r="L69" s="74" t="s">
        <v>25</v>
      </c>
      <c r="M69" s="74">
        <v>0</v>
      </c>
    </row>
    <row r="70" spans="2:15">
      <c r="B70" s="296"/>
      <c r="C70" s="297" t="s">
        <v>254</v>
      </c>
      <c r="D70" s="294" t="s">
        <v>25</v>
      </c>
      <c r="E70" s="294" t="s">
        <v>25</v>
      </c>
      <c r="F70" s="294" t="s">
        <v>25</v>
      </c>
      <c r="G70" s="286">
        <f>SUM(G57:G69)</f>
        <v>12867695.41</v>
      </c>
      <c r="H70" s="294" t="s">
        <v>25</v>
      </c>
      <c r="I70" s="294" t="s">
        <v>25</v>
      </c>
      <c r="J70" s="74">
        <f>SUM(J57:J69)</f>
        <v>12943683.66</v>
      </c>
      <c r="K70" s="74" t="s">
        <v>25</v>
      </c>
      <c r="L70" s="74" t="s">
        <v>25</v>
      </c>
      <c r="M70" s="74">
        <f>SUM(M57:M69)</f>
        <v>5236245.24</v>
      </c>
      <c r="O70" s="130"/>
    </row>
    <row r="71" spans="2:15">
      <c r="B71" s="56"/>
      <c r="C71" s="82"/>
      <c r="D71" s="56"/>
      <c r="E71" s="56"/>
      <c r="F71" s="83"/>
      <c r="G71" s="83"/>
      <c r="H71" s="56"/>
      <c r="I71" s="83"/>
      <c r="J71" s="83"/>
      <c r="K71" s="56"/>
      <c r="L71" s="83"/>
      <c r="M71" s="83"/>
    </row>
    <row r="72" spans="2:15" s="110" customFormat="1">
      <c r="B72" s="461" t="s">
        <v>235</v>
      </c>
      <c r="C72" s="485"/>
      <c r="D72" s="486"/>
      <c r="E72" s="486"/>
      <c r="F72" s="487"/>
      <c r="G72" s="487"/>
      <c r="H72" s="486"/>
      <c r="I72" s="487"/>
      <c r="J72" s="487"/>
      <c r="K72" s="486"/>
      <c r="L72" s="487"/>
      <c r="M72" s="487"/>
      <c r="N72" s="29"/>
      <c r="O72" s="29"/>
    </row>
    <row r="73" spans="2:15">
      <c r="B73" s="319" t="s">
        <v>236</v>
      </c>
      <c r="C73" s="488"/>
      <c r="D73" s="489"/>
      <c r="E73" s="489"/>
      <c r="F73" s="477"/>
      <c r="G73" s="477"/>
      <c r="H73" s="489"/>
      <c r="I73" s="477"/>
      <c r="J73" s="477"/>
      <c r="K73" s="489"/>
      <c r="L73" s="477"/>
      <c r="M73" s="477"/>
    </row>
    <row r="74" spans="2:15">
      <c r="B74" s="319" t="s">
        <v>237</v>
      </c>
      <c r="C74" s="488"/>
      <c r="D74" s="489"/>
      <c r="E74" s="489"/>
      <c r="F74" s="477"/>
      <c r="G74" s="477"/>
      <c r="H74" s="489"/>
      <c r="I74" s="477"/>
      <c r="J74" s="477"/>
      <c r="K74" s="489"/>
      <c r="L74" s="477"/>
      <c r="M74" s="477"/>
    </row>
    <row r="75" spans="2:15">
      <c r="B75" s="472" t="s">
        <v>645</v>
      </c>
      <c r="C75" s="488"/>
      <c r="D75" s="489"/>
      <c r="E75" s="489"/>
      <c r="F75" s="477"/>
      <c r="G75" s="477"/>
      <c r="H75" s="489"/>
      <c r="I75" s="477"/>
      <c r="J75" s="477"/>
      <c r="K75" s="489"/>
      <c r="L75" s="477"/>
      <c r="M75" s="477"/>
    </row>
    <row r="76" spans="2:15">
      <c r="B76" s="1099" t="s">
        <v>176</v>
      </c>
      <c r="C76" s="1099" t="s">
        <v>244</v>
      </c>
      <c r="D76" s="1099" t="s">
        <v>418</v>
      </c>
      <c r="E76" s="1099" t="s">
        <v>213</v>
      </c>
      <c r="F76" s="1099"/>
      <c r="G76" s="1099"/>
      <c r="H76" s="1099" t="s">
        <v>214</v>
      </c>
      <c r="I76" s="1099"/>
      <c r="J76" s="1099"/>
      <c r="K76" s="1099" t="s">
        <v>215</v>
      </c>
      <c r="L76" s="1099"/>
      <c r="M76" s="1099"/>
    </row>
    <row r="77" spans="2:15">
      <c r="B77" s="1099"/>
      <c r="C77" s="1099"/>
      <c r="D77" s="1099"/>
      <c r="E77" s="1099" t="s">
        <v>419</v>
      </c>
      <c r="F77" s="1105" t="s">
        <v>433</v>
      </c>
      <c r="G77" s="1105" t="s">
        <v>247</v>
      </c>
      <c r="H77" s="1105" t="s">
        <v>419</v>
      </c>
      <c r="I77" s="1099" t="s">
        <v>433</v>
      </c>
      <c r="J77" s="1099" t="s">
        <v>247</v>
      </c>
      <c r="K77" s="1099" t="s">
        <v>419</v>
      </c>
      <c r="L77" s="1099" t="s">
        <v>433</v>
      </c>
      <c r="M77" s="1099" t="s">
        <v>247</v>
      </c>
    </row>
    <row r="78" spans="2:15" ht="17.25" customHeight="1">
      <c r="B78" s="1099"/>
      <c r="C78" s="1099"/>
      <c r="D78" s="1099"/>
      <c r="E78" s="1099"/>
      <c r="F78" s="1105"/>
      <c r="G78" s="1105"/>
      <c r="H78" s="1105"/>
      <c r="I78" s="1099"/>
      <c r="J78" s="1099"/>
      <c r="K78" s="1099"/>
      <c r="L78" s="1099"/>
      <c r="M78" s="1099"/>
    </row>
    <row r="79" spans="2:15" ht="38.25">
      <c r="B79" s="465">
        <v>1</v>
      </c>
      <c r="C79" s="467" t="s">
        <v>621</v>
      </c>
      <c r="D79" s="465" t="s">
        <v>397</v>
      </c>
      <c r="E79" s="465">
        <v>22</v>
      </c>
      <c r="F79" s="468">
        <f>G79/E79</f>
        <v>98878</v>
      </c>
      <c r="G79" s="468">
        <v>2175316.06</v>
      </c>
      <c r="H79" s="466">
        <v>20</v>
      </c>
      <c r="I79" s="476">
        <f>J79/H79</f>
        <v>108439.37</v>
      </c>
      <c r="J79" s="476">
        <v>2168787.38</v>
      </c>
      <c r="K79" s="465">
        <v>20</v>
      </c>
      <c r="L79" s="476">
        <f>M79/K79</f>
        <v>114725.14</v>
      </c>
      <c r="M79" s="476">
        <v>2294502.7799999998</v>
      </c>
    </row>
    <row r="80" spans="2:15">
      <c r="B80" s="469"/>
      <c r="C80" s="490" t="s">
        <v>254</v>
      </c>
      <c r="D80" s="491" t="s">
        <v>25</v>
      </c>
      <c r="E80" s="492" t="s">
        <v>25</v>
      </c>
      <c r="F80" s="493" t="s">
        <v>25</v>
      </c>
      <c r="G80" s="468">
        <f>SUM(G79)</f>
        <v>2175316.06</v>
      </c>
      <c r="H80" s="493" t="s">
        <v>25</v>
      </c>
      <c r="I80" s="492" t="s">
        <v>25</v>
      </c>
      <c r="J80" s="476">
        <f>SUM(J79)</f>
        <v>2168787.38</v>
      </c>
      <c r="K80" s="492" t="s">
        <v>25</v>
      </c>
      <c r="L80" s="492" t="s">
        <v>25</v>
      </c>
      <c r="M80" s="476">
        <f>SUM(M79)</f>
        <v>2294502.7799999998</v>
      </c>
      <c r="O80" s="130"/>
    </row>
    <row r="81" spans="2:15">
      <c r="B81" s="116"/>
      <c r="C81" s="131"/>
      <c r="G81" s="83"/>
      <c r="J81" s="83"/>
      <c r="K81" s="83"/>
      <c r="L81" s="83"/>
      <c r="M81" s="83"/>
      <c r="O81" s="130"/>
    </row>
    <row r="82" spans="2:15" s="120" customFormat="1">
      <c r="B82" s="56"/>
      <c r="C82" s="82"/>
      <c r="D82" s="56"/>
      <c r="E82" s="56"/>
      <c r="F82" s="119"/>
      <c r="G82" s="119"/>
      <c r="H82" s="56"/>
      <c r="I82" s="119"/>
      <c r="J82" s="119"/>
      <c r="K82" s="56"/>
      <c r="L82" s="119"/>
      <c r="M82" s="119"/>
    </row>
    <row r="83" spans="2:15" s="120" customFormat="1">
      <c r="B83" s="114" t="s">
        <v>240</v>
      </c>
      <c r="C83" s="114"/>
      <c r="D83" s="114"/>
      <c r="E83" s="114"/>
      <c r="F83" s="114"/>
      <c r="G83" s="114"/>
      <c r="H83" s="114"/>
      <c r="I83" s="114"/>
      <c r="J83" s="114"/>
      <c r="K83" s="114"/>
      <c r="L83" s="114"/>
      <c r="M83" s="114"/>
    </row>
    <row r="84" spans="2:15" s="120" customFormat="1">
      <c r="B84" s="120" t="s">
        <v>241</v>
      </c>
    </row>
    <row r="85" spans="2:15" s="120" customFormat="1">
      <c r="B85" s="116" t="s">
        <v>531</v>
      </c>
      <c r="C85" s="82"/>
      <c r="D85" s="56"/>
      <c r="E85" s="56"/>
      <c r="F85" s="119"/>
      <c r="G85" s="119"/>
      <c r="H85" s="56"/>
      <c r="I85" s="119"/>
      <c r="J85" s="119"/>
      <c r="K85" s="56"/>
      <c r="L85" s="119"/>
      <c r="M85" s="119"/>
    </row>
    <row r="86" spans="2:15" s="120" customFormat="1">
      <c r="B86" s="1046" t="s">
        <v>176</v>
      </c>
      <c r="C86" s="1046" t="s">
        <v>244</v>
      </c>
      <c r="D86" s="1046" t="s">
        <v>418</v>
      </c>
      <c r="E86" s="1046" t="s">
        <v>213</v>
      </c>
      <c r="F86" s="1046"/>
      <c r="G86" s="1046"/>
      <c r="H86" s="1046" t="s">
        <v>214</v>
      </c>
      <c r="I86" s="1046"/>
      <c r="J86" s="1046"/>
      <c r="K86" s="1046" t="s">
        <v>215</v>
      </c>
      <c r="L86" s="1046"/>
      <c r="M86" s="1046"/>
    </row>
    <row r="87" spans="2:15" s="120" customFormat="1">
      <c r="B87" s="1046"/>
      <c r="C87" s="1046"/>
      <c r="D87" s="1046"/>
      <c r="E87" s="1046" t="s">
        <v>419</v>
      </c>
      <c r="F87" s="1046" t="s">
        <v>433</v>
      </c>
      <c r="G87" s="1046" t="s">
        <v>247</v>
      </c>
      <c r="H87" s="1046" t="s">
        <v>419</v>
      </c>
      <c r="I87" s="1046" t="s">
        <v>433</v>
      </c>
      <c r="J87" s="1046" t="s">
        <v>247</v>
      </c>
      <c r="K87" s="1046" t="s">
        <v>419</v>
      </c>
      <c r="L87" s="1046" t="s">
        <v>433</v>
      </c>
      <c r="M87" s="1046" t="s">
        <v>247</v>
      </c>
    </row>
    <row r="88" spans="2:15" s="120" customFormat="1">
      <c r="B88" s="1046"/>
      <c r="C88" s="1046"/>
      <c r="D88" s="1046"/>
      <c r="E88" s="1046"/>
      <c r="F88" s="1046"/>
      <c r="G88" s="1046"/>
      <c r="H88" s="1046"/>
      <c r="I88" s="1046"/>
      <c r="J88" s="1046"/>
      <c r="K88" s="1046"/>
      <c r="L88" s="1046"/>
      <c r="M88" s="1046"/>
    </row>
    <row r="89" spans="2:15" s="120" customFormat="1" ht="38.25">
      <c r="B89" s="253">
        <v>1</v>
      </c>
      <c r="C89" s="254" t="s">
        <v>536</v>
      </c>
      <c r="D89" s="253" t="s">
        <v>397</v>
      </c>
      <c r="E89" s="253">
        <v>7</v>
      </c>
      <c r="F89" s="158">
        <f t="shared" ref="F89" si="8">G89/E89</f>
        <v>107142.86</v>
      </c>
      <c r="G89" s="158">
        <v>750000</v>
      </c>
      <c r="H89" s="253">
        <v>0</v>
      </c>
      <c r="I89" s="158">
        <v>0</v>
      </c>
      <c r="J89" s="158">
        <v>0</v>
      </c>
      <c r="K89" s="253">
        <v>0</v>
      </c>
      <c r="L89" s="158">
        <v>0</v>
      </c>
      <c r="M89" s="158">
        <v>0</v>
      </c>
    </row>
    <row r="90" spans="2:15" s="120" customFormat="1">
      <c r="B90" s="117"/>
      <c r="C90" s="128" t="s">
        <v>254</v>
      </c>
      <c r="D90" s="37" t="s">
        <v>25</v>
      </c>
      <c r="E90" s="98" t="s">
        <v>25</v>
      </c>
      <c r="F90" s="98" t="s">
        <v>25</v>
      </c>
      <c r="G90" s="158">
        <f>SUM(G89)</f>
        <v>750000</v>
      </c>
      <c r="H90" s="98" t="s">
        <v>25</v>
      </c>
      <c r="I90" s="98" t="s">
        <v>25</v>
      </c>
      <c r="J90" s="158">
        <f>SUM(J89)</f>
        <v>0</v>
      </c>
      <c r="K90" s="98" t="s">
        <v>25</v>
      </c>
      <c r="L90" s="98" t="s">
        <v>25</v>
      </c>
      <c r="M90" s="158">
        <f>SUM(M89)</f>
        <v>0</v>
      </c>
      <c r="O90" s="130"/>
    </row>
    <row r="91" spans="2:15" s="120" customFormat="1">
      <c r="B91" s="116"/>
      <c r="C91" s="131"/>
      <c r="G91" s="119"/>
      <c r="J91" s="119"/>
      <c r="K91" s="119"/>
      <c r="L91" s="119"/>
      <c r="M91" s="119"/>
      <c r="O91" s="130"/>
    </row>
    <row r="92" spans="2:15">
      <c r="B92" s="114" t="s">
        <v>240</v>
      </c>
      <c r="C92" s="114"/>
      <c r="D92" s="114"/>
      <c r="E92" s="114"/>
      <c r="F92" s="114"/>
      <c r="G92" s="114"/>
      <c r="H92" s="114"/>
      <c r="I92" s="114"/>
      <c r="J92" s="114"/>
      <c r="K92" s="114"/>
      <c r="L92" s="114"/>
      <c r="M92" s="114"/>
    </row>
    <row r="93" spans="2:15">
      <c r="B93" s="29" t="s">
        <v>241</v>
      </c>
    </row>
    <row r="94" spans="2:15">
      <c r="B94" s="29" t="s">
        <v>410</v>
      </c>
    </row>
    <row r="95" spans="2:15">
      <c r="B95" s="1046" t="s">
        <v>176</v>
      </c>
      <c r="C95" s="1046" t="s">
        <v>244</v>
      </c>
      <c r="D95" s="1046" t="s">
        <v>418</v>
      </c>
      <c r="E95" s="1046" t="s">
        <v>213</v>
      </c>
      <c r="F95" s="1046"/>
      <c r="G95" s="1046"/>
      <c r="H95" s="1046" t="s">
        <v>214</v>
      </c>
      <c r="I95" s="1046"/>
      <c r="J95" s="1046"/>
      <c r="K95" s="1046" t="s">
        <v>215</v>
      </c>
      <c r="L95" s="1046"/>
      <c r="M95" s="1046"/>
    </row>
    <row r="96" spans="2:15" ht="25.5">
      <c r="B96" s="1046"/>
      <c r="C96" s="1046"/>
      <c r="D96" s="1046"/>
      <c r="E96" s="274" t="s">
        <v>419</v>
      </c>
      <c r="F96" s="274" t="s">
        <v>307</v>
      </c>
      <c r="G96" s="274" t="s">
        <v>247</v>
      </c>
      <c r="H96" s="274" t="s">
        <v>419</v>
      </c>
      <c r="I96" s="274" t="s">
        <v>307</v>
      </c>
      <c r="J96" s="274" t="s">
        <v>247</v>
      </c>
      <c r="K96" s="274" t="s">
        <v>419</v>
      </c>
      <c r="L96" s="274" t="s">
        <v>307</v>
      </c>
      <c r="M96" s="274" t="s">
        <v>247</v>
      </c>
    </row>
    <row r="97" spans="2:13" ht="38.25">
      <c r="B97" s="257">
        <v>1</v>
      </c>
      <c r="C97" s="281" t="s">
        <v>622</v>
      </c>
      <c r="D97" s="257" t="s">
        <v>397</v>
      </c>
      <c r="E97" s="257">
        <v>0</v>
      </c>
      <c r="F97" s="279">
        <v>0</v>
      </c>
      <c r="G97" s="279">
        <v>0</v>
      </c>
      <c r="H97" s="257">
        <v>8</v>
      </c>
      <c r="I97" s="74">
        <f>J97/H97</f>
        <v>52323.75</v>
      </c>
      <c r="J97" s="74">
        <v>418590</v>
      </c>
      <c r="K97" s="57">
        <v>8</v>
      </c>
      <c r="L97" s="74">
        <f>M97/K97</f>
        <v>52323.75</v>
      </c>
      <c r="M97" s="74">
        <v>418590</v>
      </c>
    </row>
    <row r="98" spans="2:13" ht="38.25">
      <c r="B98" s="57">
        <v>2</v>
      </c>
      <c r="C98" s="81" t="s">
        <v>623</v>
      </c>
      <c r="D98" s="57" t="s">
        <v>397</v>
      </c>
      <c r="E98" s="57">
        <v>8</v>
      </c>
      <c r="F98" s="74">
        <f>G98/E98</f>
        <v>2206.91</v>
      </c>
      <c r="G98" s="74">
        <v>17655.259999999998</v>
      </c>
      <c r="H98" s="57">
        <v>8</v>
      </c>
      <c r="I98" s="74">
        <f>J98/H98</f>
        <v>2206.91</v>
      </c>
      <c r="J98" s="74">
        <v>17655.259999999998</v>
      </c>
      <c r="K98" s="57">
        <v>8</v>
      </c>
      <c r="L98" s="74">
        <f>M98/K98</f>
        <v>2206.91</v>
      </c>
      <c r="M98" s="74">
        <v>17655.259999999998</v>
      </c>
    </row>
    <row r="99" spans="2:13" ht="51">
      <c r="B99" s="57">
        <v>3</v>
      </c>
      <c r="C99" s="81" t="s">
        <v>624</v>
      </c>
      <c r="D99" s="57" t="s">
        <v>397</v>
      </c>
      <c r="E99" s="57">
        <v>0</v>
      </c>
      <c r="F99" s="74">
        <v>0</v>
      </c>
      <c r="G99" s="74">
        <v>0</v>
      </c>
      <c r="H99" s="57">
        <v>10</v>
      </c>
      <c r="I99" s="74">
        <f>J99/H99</f>
        <v>7678.82</v>
      </c>
      <c r="J99" s="74">
        <v>76788.2</v>
      </c>
      <c r="K99" s="57">
        <v>10</v>
      </c>
      <c r="L99" s="74">
        <f>M99/K99</f>
        <v>7678.82</v>
      </c>
      <c r="M99" s="74">
        <v>76788.2</v>
      </c>
    </row>
    <row r="100" spans="2:13" ht="51">
      <c r="B100" s="57">
        <v>4</v>
      </c>
      <c r="C100" s="81" t="s">
        <v>643</v>
      </c>
      <c r="D100" s="57" t="s">
        <v>397</v>
      </c>
      <c r="E100" s="57">
        <f>100+10</f>
        <v>110</v>
      </c>
      <c r="F100" s="74">
        <f>G100/E100</f>
        <v>4145.21</v>
      </c>
      <c r="G100" s="282">
        <f>615839.48-60000+70438.2-170304.12</f>
        <v>455973.56</v>
      </c>
      <c r="H100" s="57">
        <v>200</v>
      </c>
      <c r="I100" s="74">
        <f>J100/H100</f>
        <v>6441.18</v>
      </c>
      <c r="J100" s="74">
        <v>1288235.02</v>
      </c>
      <c r="K100" s="57">
        <v>200</v>
      </c>
      <c r="L100" s="74">
        <f>M100/K100</f>
        <v>6449.41</v>
      </c>
      <c r="M100" s="74">
        <v>1289881.1299999999</v>
      </c>
    </row>
    <row r="101" spans="2:13" ht="38.25">
      <c r="B101" s="182">
        <v>5</v>
      </c>
      <c r="C101" s="183" t="s">
        <v>625</v>
      </c>
      <c r="D101" s="182" t="s">
        <v>397</v>
      </c>
      <c r="E101" s="182">
        <v>4</v>
      </c>
      <c r="F101" s="158">
        <f>G101/E101</f>
        <v>3150</v>
      </c>
      <c r="G101" s="158">
        <v>12600</v>
      </c>
      <c r="H101" s="182">
        <v>0</v>
      </c>
      <c r="I101" s="158">
        <v>0</v>
      </c>
      <c r="J101" s="158">
        <v>0</v>
      </c>
      <c r="K101" s="182">
        <v>0</v>
      </c>
      <c r="L101" s="158">
        <v>0</v>
      </c>
      <c r="M101" s="158">
        <v>0</v>
      </c>
    </row>
    <row r="102" spans="2:13" ht="76.5">
      <c r="B102" s="182">
        <v>6</v>
      </c>
      <c r="C102" s="183" t="s">
        <v>626</v>
      </c>
      <c r="D102" s="182" t="s">
        <v>397</v>
      </c>
      <c r="E102" s="182">
        <v>1</v>
      </c>
      <c r="F102" s="158">
        <v>8400</v>
      </c>
      <c r="G102" s="158">
        <f>F102*E102</f>
        <v>8400</v>
      </c>
      <c r="H102" s="182">
        <v>0</v>
      </c>
      <c r="I102" s="158">
        <v>0</v>
      </c>
      <c r="J102" s="158">
        <v>0</v>
      </c>
      <c r="K102" s="182">
        <v>0</v>
      </c>
      <c r="L102" s="158">
        <v>0</v>
      </c>
      <c r="M102" s="158">
        <v>0</v>
      </c>
    </row>
    <row r="103" spans="2:13" s="120" customFormat="1" ht="38.25">
      <c r="B103" s="182">
        <v>7</v>
      </c>
      <c r="C103" s="183" t="s">
        <v>486</v>
      </c>
      <c r="D103" s="182" t="s">
        <v>397</v>
      </c>
      <c r="E103" s="182">
        <v>1</v>
      </c>
      <c r="F103" s="158">
        <v>99000</v>
      </c>
      <c r="G103" s="158">
        <f>F103*E103</f>
        <v>99000</v>
      </c>
      <c r="H103" s="182">
        <v>0</v>
      </c>
      <c r="I103" s="158">
        <v>0</v>
      </c>
      <c r="J103" s="158">
        <v>0</v>
      </c>
      <c r="K103" s="182">
        <v>0</v>
      </c>
      <c r="L103" s="158">
        <v>0</v>
      </c>
      <c r="M103" s="158">
        <v>0</v>
      </c>
    </row>
    <row r="104" spans="2:13" s="120" customFormat="1" ht="51">
      <c r="B104" s="182">
        <v>8</v>
      </c>
      <c r="C104" s="183" t="s">
        <v>627</v>
      </c>
      <c r="D104" s="182" t="s">
        <v>397</v>
      </c>
      <c r="E104" s="182">
        <v>2</v>
      </c>
      <c r="F104" s="158">
        <f>G104/E104</f>
        <v>2600</v>
      </c>
      <c r="G104" s="158">
        <v>5200</v>
      </c>
      <c r="H104" s="182">
        <v>0</v>
      </c>
      <c r="I104" s="158">
        <v>0</v>
      </c>
      <c r="J104" s="158">
        <v>0</v>
      </c>
      <c r="K104" s="182">
        <v>0</v>
      </c>
      <c r="L104" s="158">
        <v>0</v>
      </c>
      <c r="M104" s="158">
        <v>0</v>
      </c>
    </row>
    <row r="105" spans="2:13" s="120" customFormat="1" ht="51">
      <c r="B105" s="182">
        <v>9</v>
      </c>
      <c r="C105" s="183" t="s">
        <v>628</v>
      </c>
      <c r="D105" s="182" t="s">
        <v>397</v>
      </c>
      <c r="E105" s="182">
        <v>1</v>
      </c>
      <c r="F105" s="158">
        <v>10560</v>
      </c>
      <c r="G105" s="158">
        <f>E105*F105</f>
        <v>10560</v>
      </c>
      <c r="H105" s="182">
        <v>0</v>
      </c>
      <c r="I105" s="158">
        <v>0</v>
      </c>
      <c r="J105" s="158">
        <v>0</v>
      </c>
      <c r="K105" s="182">
        <v>0</v>
      </c>
      <c r="L105" s="158">
        <v>0</v>
      </c>
      <c r="M105" s="158">
        <v>0</v>
      </c>
    </row>
    <row r="106" spans="2:13" s="120" customFormat="1" ht="38.25">
      <c r="B106" s="182">
        <v>10</v>
      </c>
      <c r="C106" s="183" t="s">
        <v>485</v>
      </c>
      <c r="D106" s="182" t="s">
        <v>397</v>
      </c>
      <c r="E106" s="182">
        <v>1</v>
      </c>
      <c r="F106" s="158">
        <v>19200</v>
      </c>
      <c r="G106" s="158">
        <f>E106*F106</f>
        <v>19200</v>
      </c>
      <c r="H106" s="182">
        <v>0</v>
      </c>
      <c r="I106" s="158">
        <v>0</v>
      </c>
      <c r="J106" s="158">
        <v>0</v>
      </c>
      <c r="K106" s="182">
        <v>0</v>
      </c>
      <c r="L106" s="158">
        <v>0</v>
      </c>
      <c r="M106" s="158">
        <v>0</v>
      </c>
    </row>
    <row r="107" spans="2:13" s="120" customFormat="1" ht="51">
      <c r="B107" s="182">
        <v>11</v>
      </c>
      <c r="C107" s="183" t="s">
        <v>629</v>
      </c>
      <c r="D107" s="182" t="s">
        <v>397</v>
      </c>
      <c r="E107" s="182">
        <v>1</v>
      </c>
      <c r="F107" s="158">
        <f>G107/E107</f>
        <v>25000</v>
      </c>
      <c r="G107" s="158">
        <v>25000</v>
      </c>
      <c r="H107" s="182">
        <v>0</v>
      </c>
      <c r="I107" s="158">
        <v>0</v>
      </c>
      <c r="J107" s="158">
        <v>0</v>
      </c>
      <c r="K107" s="182">
        <v>0</v>
      </c>
      <c r="L107" s="158">
        <v>0</v>
      </c>
      <c r="M107" s="158">
        <v>0</v>
      </c>
    </row>
    <row r="108" spans="2:13" s="120" customFormat="1" ht="89.25">
      <c r="B108" s="182">
        <v>12</v>
      </c>
      <c r="C108" s="183" t="s">
        <v>630</v>
      </c>
      <c r="D108" s="182" t="s">
        <v>397</v>
      </c>
      <c r="E108" s="182">
        <v>1</v>
      </c>
      <c r="F108" s="158">
        <f>G108/E108</f>
        <v>24900</v>
      </c>
      <c r="G108" s="158">
        <v>24900</v>
      </c>
      <c r="H108" s="182">
        <v>0</v>
      </c>
      <c r="I108" s="158">
        <v>0</v>
      </c>
      <c r="J108" s="158">
        <v>0</v>
      </c>
      <c r="K108" s="182">
        <v>0</v>
      </c>
      <c r="L108" s="158">
        <v>0</v>
      </c>
      <c r="M108" s="158">
        <v>0</v>
      </c>
    </row>
    <row r="109" spans="2:13" s="120" customFormat="1" ht="25.5">
      <c r="B109" s="182">
        <v>13</v>
      </c>
      <c r="C109" s="81" t="s">
        <v>631</v>
      </c>
      <c r="D109" s="57" t="s">
        <v>397</v>
      </c>
      <c r="E109" s="57">
        <v>1</v>
      </c>
      <c r="F109" s="74">
        <v>622720</v>
      </c>
      <c r="G109" s="74">
        <f>E109*F109-482098.16</f>
        <v>140621.84</v>
      </c>
      <c r="H109" s="57">
        <v>1</v>
      </c>
      <c r="I109" s="74">
        <v>622720</v>
      </c>
      <c r="J109" s="74">
        <f>H109*I109</f>
        <v>622720</v>
      </c>
      <c r="K109" s="57">
        <v>1</v>
      </c>
      <c r="L109" s="74">
        <v>622720</v>
      </c>
      <c r="M109" s="74">
        <f>K109*L109</f>
        <v>622720</v>
      </c>
    </row>
    <row r="110" spans="2:13" s="120" customFormat="1" ht="51">
      <c r="B110" s="182">
        <v>14</v>
      </c>
      <c r="C110" s="81" t="s">
        <v>632</v>
      </c>
      <c r="D110" s="57" t="s">
        <v>397</v>
      </c>
      <c r="E110" s="57">
        <v>16</v>
      </c>
      <c r="F110" s="74">
        <f>G110/E110</f>
        <v>10825</v>
      </c>
      <c r="G110" s="74">
        <f>138200+35000</f>
        <v>173200</v>
      </c>
      <c r="H110" s="57">
        <v>16</v>
      </c>
      <c r="I110" s="74">
        <f>J110/H110</f>
        <v>8637.5</v>
      </c>
      <c r="J110" s="74">
        <v>138200</v>
      </c>
      <c r="K110" s="57">
        <v>16</v>
      </c>
      <c r="L110" s="74">
        <f>M110/K110</f>
        <v>8637.5</v>
      </c>
      <c r="M110" s="74">
        <v>138200</v>
      </c>
    </row>
    <row r="111" spans="2:13" ht="76.5">
      <c r="B111" s="274">
        <v>15</v>
      </c>
      <c r="C111" s="276" t="s">
        <v>633</v>
      </c>
      <c r="D111" s="274" t="s">
        <v>397</v>
      </c>
      <c r="E111" s="274">
        <v>1</v>
      </c>
      <c r="F111" s="275">
        <v>60000</v>
      </c>
      <c r="G111" s="275">
        <v>60000</v>
      </c>
      <c r="H111" s="274">
        <v>0</v>
      </c>
      <c r="I111" s="275">
        <v>0</v>
      </c>
      <c r="J111" s="275">
        <v>0</v>
      </c>
      <c r="K111" s="274">
        <v>0</v>
      </c>
      <c r="L111" s="275">
        <v>0</v>
      </c>
      <c r="M111" s="275">
        <v>0</v>
      </c>
    </row>
    <row r="112" spans="2:13" ht="38.25">
      <c r="B112" s="182">
        <v>16</v>
      </c>
      <c r="C112" s="81" t="s">
        <v>634</v>
      </c>
      <c r="D112" s="57" t="s">
        <v>397</v>
      </c>
      <c r="E112" s="57">
        <v>12</v>
      </c>
      <c r="F112" s="74">
        <v>10000</v>
      </c>
      <c r="G112" s="74">
        <v>156000</v>
      </c>
      <c r="H112" s="57">
        <v>12</v>
      </c>
      <c r="I112" s="74">
        <v>10000</v>
      </c>
      <c r="J112" s="74">
        <v>100700.4</v>
      </c>
      <c r="K112" s="57">
        <v>12</v>
      </c>
      <c r="L112" s="74">
        <v>10000</v>
      </c>
      <c r="M112" s="74">
        <v>111183.88</v>
      </c>
    </row>
    <row r="113" spans="2:17" ht="51">
      <c r="B113" s="271">
        <v>17</v>
      </c>
      <c r="C113" s="273" t="s">
        <v>635</v>
      </c>
      <c r="D113" s="271" t="s">
        <v>397</v>
      </c>
      <c r="E113" s="271">
        <v>1</v>
      </c>
      <c r="F113" s="272">
        <f t="shared" ref="F113:F114" si="9">G113/E113</f>
        <v>11699</v>
      </c>
      <c r="G113" s="272">
        <v>11699</v>
      </c>
      <c r="H113" s="271">
        <v>0</v>
      </c>
      <c r="I113" s="272">
        <v>0</v>
      </c>
      <c r="J113" s="272">
        <v>0</v>
      </c>
      <c r="K113" s="271">
        <v>0</v>
      </c>
      <c r="L113" s="272">
        <v>0</v>
      </c>
      <c r="M113" s="272">
        <v>0</v>
      </c>
    </row>
    <row r="114" spans="2:17" ht="51">
      <c r="B114" s="271">
        <v>18</v>
      </c>
      <c r="C114" s="273" t="s">
        <v>541</v>
      </c>
      <c r="D114" s="271" t="s">
        <v>397</v>
      </c>
      <c r="E114" s="271">
        <v>1</v>
      </c>
      <c r="F114" s="272">
        <f t="shared" si="9"/>
        <v>6350</v>
      </c>
      <c r="G114" s="272">
        <v>6350</v>
      </c>
      <c r="H114" s="271">
        <v>0</v>
      </c>
      <c r="I114" s="272">
        <v>0</v>
      </c>
      <c r="J114" s="272">
        <v>0</v>
      </c>
      <c r="K114" s="271">
        <v>0</v>
      </c>
      <c r="L114" s="272">
        <v>0</v>
      </c>
      <c r="M114" s="272">
        <v>0</v>
      </c>
    </row>
    <row r="115" spans="2:17" ht="51">
      <c r="B115" s="274">
        <v>19</v>
      </c>
      <c r="C115" s="276" t="s">
        <v>636</v>
      </c>
      <c r="D115" s="274" t="s">
        <v>397</v>
      </c>
      <c r="E115" s="274">
        <v>1</v>
      </c>
      <c r="F115" s="286">
        <f t="shared" ref="F115" si="10">G115/E115</f>
        <v>0</v>
      </c>
      <c r="G115" s="286">
        <v>0</v>
      </c>
      <c r="H115" s="257">
        <v>0</v>
      </c>
      <c r="I115" s="275">
        <v>0</v>
      </c>
      <c r="J115" s="275">
        <v>0</v>
      </c>
      <c r="K115" s="274">
        <v>0</v>
      </c>
      <c r="L115" s="275">
        <v>0</v>
      </c>
      <c r="M115" s="275">
        <v>0</v>
      </c>
    </row>
    <row r="116" spans="2:17" s="4" customFormat="1" ht="20.25">
      <c r="B116" s="117"/>
      <c r="C116" s="128" t="s">
        <v>254</v>
      </c>
      <c r="D116" s="98" t="s">
        <v>25</v>
      </c>
      <c r="E116" s="98" t="s">
        <v>25</v>
      </c>
      <c r="F116" s="293" t="s">
        <v>25</v>
      </c>
      <c r="G116" s="293">
        <f>G97+G98+G99+G100+G101+G102+G103+G104+G105+G106+G107+G108+G109+G110+G111+G112+G113+G114+G115</f>
        <v>1226359.6599999999</v>
      </c>
      <c r="H116" s="294" t="s">
        <v>25</v>
      </c>
      <c r="I116" s="102" t="s">
        <v>25</v>
      </c>
      <c r="J116" s="102">
        <f>SUM(J97:J115)</f>
        <v>2662888.88</v>
      </c>
      <c r="K116" s="102" t="s">
        <v>25</v>
      </c>
      <c r="L116" s="102" t="s">
        <v>25</v>
      </c>
      <c r="M116" s="102">
        <f>SUM(M97:M115)</f>
        <v>2675018.4700000002</v>
      </c>
    </row>
    <row r="118" spans="2:17">
      <c r="B118" s="85" t="s">
        <v>243</v>
      </c>
      <c r="C118" s="85"/>
      <c r="D118" s="85"/>
      <c r="E118" s="85"/>
      <c r="F118" s="85"/>
      <c r="G118" s="85"/>
      <c r="H118" s="85"/>
      <c r="I118" s="85"/>
      <c r="J118" s="85"/>
      <c r="K118" s="85"/>
      <c r="L118" s="85"/>
      <c r="M118" s="85"/>
    </row>
    <row r="119" spans="2:17">
      <c r="B119" s="29" t="s">
        <v>239</v>
      </c>
    </row>
    <row r="120" spans="2:17">
      <c r="B120" s="29" t="s">
        <v>435</v>
      </c>
    </row>
    <row r="121" spans="2:17" s="110" customFormat="1">
      <c r="B121" s="116" t="s">
        <v>436</v>
      </c>
      <c r="C121" s="259"/>
      <c r="D121" s="259"/>
      <c r="E121" s="259"/>
      <c r="F121" s="259"/>
      <c r="G121" s="259"/>
      <c r="H121" s="259"/>
      <c r="I121" s="259"/>
      <c r="J121" s="259"/>
      <c r="K121" s="259"/>
      <c r="L121" s="259"/>
      <c r="M121" s="259"/>
      <c r="N121" s="29"/>
      <c r="O121" s="29"/>
    </row>
    <row r="122" spans="2:17">
      <c r="B122" s="1046" t="s">
        <v>176</v>
      </c>
      <c r="C122" s="1046" t="s">
        <v>244</v>
      </c>
      <c r="D122" s="1046" t="s">
        <v>418</v>
      </c>
      <c r="E122" s="1046" t="s">
        <v>213</v>
      </c>
      <c r="F122" s="1046"/>
      <c r="G122" s="1046"/>
      <c r="H122" s="1046" t="s">
        <v>214</v>
      </c>
      <c r="I122" s="1046"/>
      <c r="J122" s="1046"/>
      <c r="K122" s="1046" t="s">
        <v>215</v>
      </c>
      <c r="L122" s="1046"/>
      <c r="M122" s="1046"/>
    </row>
    <row r="123" spans="2:17">
      <c r="B123" s="1046"/>
      <c r="C123" s="1046"/>
      <c r="D123" s="1046"/>
      <c r="E123" s="1046" t="s">
        <v>419</v>
      </c>
      <c r="F123" s="1046" t="s">
        <v>307</v>
      </c>
      <c r="G123" s="1046" t="s">
        <v>247</v>
      </c>
      <c r="H123" s="1046" t="s">
        <v>419</v>
      </c>
      <c r="I123" s="57" t="s">
        <v>366</v>
      </c>
      <c r="J123" s="1046" t="s">
        <v>247</v>
      </c>
      <c r="K123" s="1046" t="s">
        <v>419</v>
      </c>
      <c r="L123" s="57" t="s">
        <v>366</v>
      </c>
      <c r="M123" s="1046" t="s">
        <v>247</v>
      </c>
    </row>
    <row r="124" spans="2:17">
      <c r="B124" s="1046"/>
      <c r="C124" s="1046"/>
      <c r="D124" s="1046"/>
      <c r="E124" s="1046"/>
      <c r="F124" s="1046"/>
      <c r="G124" s="1046"/>
      <c r="H124" s="1046"/>
      <c r="I124" s="57" t="s">
        <v>434</v>
      </c>
      <c r="J124" s="1046"/>
      <c r="K124" s="1046"/>
      <c r="L124" s="57" t="s">
        <v>434</v>
      </c>
      <c r="M124" s="1046"/>
    </row>
    <row r="125" spans="2:17" ht="25.5">
      <c r="B125" s="57">
        <v>1</v>
      </c>
      <c r="C125" s="81" t="s">
        <v>437</v>
      </c>
      <c r="D125" s="57" t="s">
        <v>397</v>
      </c>
      <c r="E125" s="57">
        <v>1</v>
      </c>
      <c r="F125" s="100">
        <v>52833.25</v>
      </c>
      <c r="G125" s="100">
        <v>0</v>
      </c>
      <c r="H125" s="107">
        <v>0</v>
      </c>
      <c r="I125" s="107">
        <v>0</v>
      </c>
      <c r="J125" s="107">
        <v>0</v>
      </c>
      <c r="K125" s="107">
        <v>0</v>
      </c>
      <c r="L125" s="107">
        <v>0</v>
      </c>
      <c r="M125" s="107">
        <v>0</v>
      </c>
    </row>
    <row r="126" spans="2:17">
      <c r="B126" s="117"/>
      <c r="C126" s="128" t="s">
        <v>254</v>
      </c>
      <c r="D126" s="37" t="s">
        <v>25</v>
      </c>
      <c r="E126" s="99">
        <f>SUM(E125)</f>
        <v>1</v>
      </c>
      <c r="F126" s="100">
        <f>SUM(F125)</f>
        <v>52833.25</v>
      </c>
      <c r="G126" s="100">
        <f>SUM(G125)</f>
        <v>0</v>
      </c>
      <c r="H126" s="107">
        <v>0</v>
      </c>
      <c r="I126" s="107">
        <v>0</v>
      </c>
      <c r="J126" s="107">
        <v>0</v>
      </c>
      <c r="K126" s="107">
        <v>0</v>
      </c>
      <c r="L126" s="107">
        <v>0</v>
      </c>
      <c r="M126" s="107">
        <v>0</v>
      </c>
    </row>
    <row r="127" spans="2:17">
      <c r="Q127" s="29" t="s">
        <v>438</v>
      </c>
    </row>
    <row r="128" spans="2:17" ht="15.75">
      <c r="B128" s="1" t="s">
        <v>439</v>
      </c>
    </row>
    <row r="129" spans="2:13">
      <c r="B129" s="29" t="s">
        <v>288</v>
      </c>
    </row>
    <row r="130" spans="2:13">
      <c r="B130" s="116" t="s">
        <v>289</v>
      </c>
    </row>
    <row r="131" spans="2:13">
      <c r="B131" s="1046" t="s">
        <v>176</v>
      </c>
      <c r="C131" s="1046" t="s">
        <v>244</v>
      </c>
      <c r="D131" s="1046" t="s">
        <v>440</v>
      </c>
      <c r="E131" s="1046" t="s">
        <v>274</v>
      </c>
      <c r="F131" s="1046"/>
      <c r="G131" s="1046"/>
      <c r="H131" s="1046" t="s">
        <v>275</v>
      </c>
      <c r="I131" s="1046"/>
      <c r="J131" s="1046"/>
      <c r="K131" s="1046" t="s">
        <v>276</v>
      </c>
      <c r="L131" s="1046"/>
      <c r="M131" s="1046"/>
    </row>
    <row r="132" spans="2:13">
      <c r="B132" s="1046"/>
      <c r="C132" s="1046"/>
      <c r="D132" s="1046"/>
      <c r="E132" s="1046" t="s">
        <v>419</v>
      </c>
      <c r="F132" s="1046" t="s">
        <v>307</v>
      </c>
      <c r="G132" s="1046" t="s">
        <v>247</v>
      </c>
      <c r="H132" s="1046" t="s">
        <v>419</v>
      </c>
      <c r="I132" s="57" t="s">
        <v>366</v>
      </c>
      <c r="J132" s="1046" t="s">
        <v>247</v>
      </c>
      <c r="K132" s="1046" t="s">
        <v>419</v>
      </c>
      <c r="L132" s="57" t="s">
        <v>366</v>
      </c>
      <c r="M132" s="1046" t="s">
        <v>247</v>
      </c>
    </row>
    <row r="133" spans="2:13">
      <c r="B133" s="1046"/>
      <c r="C133" s="1046"/>
      <c r="D133" s="1046"/>
      <c r="E133" s="1046"/>
      <c r="F133" s="1046"/>
      <c r="G133" s="1046"/>
      <c r="H133" s="1046"/>
      <c r="I133" s="57" t="s">
        <v>434</v>
      </c>
      <c r="J133" s="1046"/>
      <c r="K133" s="1046"/>
      <c r="L133" s="57" t="s">
        <v>434</v>
      </c>
      <c r="M133" s="1046"/>
    </row>
    <row r="134" spans="2:13">
      <c r="B134" s="81"/>
      <c r="C134" s="81"/>
      <c r="D134" s="90"/>
      <c r="E134" s="90"/>
      <c r="F134" s="90"/>
      <c r="G134" s="90"/>
      <c r="H134" s="90"/>
      <c r="I134" s="90"/>
      <c r="J134" s="90"/>
      <c r="K134" s="90"/>
      <c r="L134" s="90"/>
      <c r="M134" s="90"/>
    </row>
    <row r="135" spans="2:13" ht="15.75">
      <c r="B135" s="1" t="s">
        <v>441</v>
      </c>
    </row>
    <row r="137" spans="2:13">
      <c r="B137" s="29" t="s">
        <v>288</v>
      </c>
    </row>
    <row r="139" spans="2:13">
      <c r="B139" s="116" t="s">
        <v>289</v>
      </c>
    </row>
    <row r="140" spans="2:13">
      <c r="B140" s="1046" t="s">
        <v>176</v>
      </c>
      <c r="C140" s="1046" t="s">
        <v>244</v>
      </c>
      <c r="D140" s="1046" t="s">
        <v>440</v>
      </c>
      <c r="E140" s="1046" t="s">
        <v>274</v>
      </c>
      <c r="F140" s="1046"/>
      <c r="G140" s="1046"/>
      <c r="H140" s="1046" t="s">
        <v>275</v>
      </c>
      <c r="I140" s="1046"/>
      <c r="J140" s="1046"/>
      <c r="K140" s="1046" t="s">
        <v>276</v>
      </c>
      <c r="L140" s="1046"/>
      <c r="M140" s="1046"/>
    </row>
    <row r="141" spans="2:13">
      <c r="B141" s="1046"/>
      <c r="C141" s="1046"/>
      <c r="D141" s="1046"/>
      <c r="E141" s="1046" t="s">
        <v>419</v>
      </c>
      <c r="F141" s="1046" t="s">
        <v>307</v>
      </c>
      <c r="G141" s="1046" t="s">
        <v>247</v>
      </c>
      <c r="H141" s="1046" t="s">
        <v>419</v>
      </c>
      <c r="I141" s="57" t="s">
        <v>366</v>
      </c>
      <c r="J141" s="1046" t="s">
        <v>247</v>
      </c>
      <c r="K141" s="1046" t="s">
        <v>419</v>
      </c>
      <c r="L141" s="57" t="s">
        <v>400</v>
      </c>
      <c r="M141" s="1046" t="s">
        <v>247</v>
      </c>
    </row>
    <row r="142" spans="2:13">
      <c r="B142" s="1046"/>
      <c r="C142" s="1046"/>
      <c r="D142" s="1046"/>
      <c r="E142" s="1046"/>
      <c r="F142" s="1046"/>
      <c r="G142" s="1046"/>
      <c r="H142" s="1046"/>
      <c r="I142" s="57" t="s">
        <v>434</v>
      </c>
      <c r="J142" s="1046"/>
      <c r="K142" s="1046"/>
      <c r="L142" s="57" t="s">
        <v>442</v>
      </c>
      <c r="M142" s="1046"/>
    </row>
    <row r="143" spans="2:13">
      <c r="B143" s="85" t="s">
        <v>243</v>
      </c>
      <c r="C143" s="85"/>
      <c r="D143" s="85"/>
      <c r="E143" s="85"/>
      <c r="F143" s="85"/>
      <c r="G143" s="85"/>
      <c r="H143" s="85"/>
      <c r="I143" s="85"/>
      <c r="J143" s="85"/>
      <c r="K143" s="85"/>
      <c r="L143" s="85"/>
      <c r="M143" s="85"/>
    </row>
    <row r="144" spans="2:13">
      <c r="B144" s="29" t="s">
        <v>239</v>
      </c>
    </row>
    <row r="145" spans="2:15">
      <c r="B145" s="29" t="s">
        <v>279</v>
      </c>
    </row>
    <row r="146" spans="2:15">
      <c r="B146" s="116" t="s">
        <v>410</v>
      </c>
    </row>
    <row r="147" spans="2:15" s="110" customFormat="1">
      <c r="B147" s="1046" t="s">
        <v>176</v>
      </c>
      <c r="C147" s="1046" t="s">
        <v>244</v>
      </c>
      <c r="D147" s="1046" t="s">
        <v>418</v>
      </c>
      <c r="E147" s="1046" t="s">
        <v>213</v>
      </c>
      <c r="F147" s="1046"/>
      <c r="G147" s="1046"/>
      <c r="H147" s="1046" t="s">
        <v>214</v>
      </c>
      <c r="I147" s="1046"/>
      <c r="J147" s="1046"/>
      <c r="K147" s="1046" t="s">
        <v>215</v>
      </c>
      <c r="L147" s="1046"/>
      <c r="M147" s="1046"/>
      <c r="N147" s="29"/>
      <c r="O147" s="29"/>
    </row>
    <row r="148" spans="2:15">
      <c r="B148" s="1046"/>
      <c r="C148" s="1046"/>
      <c r="D148" s="1046"/>
      <c r="E148" s="1046" t="s">
        <v>419</v>
      </c>
      <c r="F148" s="1046" t="s">
        <v>307</v>
      </c>
      <c r="G148" s="1046" t="s">
        <v>247</v>
      </c>
      <c r="H148" s="1046" t="s">
        <v>419</v>
      </c>
      <c r="I148" s="57" t="s">
        <v>366</v>
      </c>
      <c r="J148" s="1046" t="s">
        <v>247</v>
      </c>
      <c r="K148" s="1046" t="s">
        <v>419</v>
      </c>
      <c r="L148" s="57" t="s">
        <v>366</v>
      </c>
      <c r="M148" s="1046" t="s">
        <v>247</v>
      </c>
    </row>
    <row r="149" spans="2:15">
      <c r="B149" s="1046"/>
      <c r="C149" s="1046"/>
      <c r="D149" s="1046"/>
      <c r="E149" s="1046"/>
      <c r="F149" s="1046"/>
      <c r="G149" s="1046"/>
      <c r="H149" s="1046"/>
      <c r="I149" s="57" t="s">
        <v>434</v>
      </c>
      <c r="J149" s="1046"/>
      <c r="K149" s="1046"/>
      <c r="L149" s="57" t="s">
        <v>434</v>
      </c>
      <c r="M149" s="1046"/>
    </row>
    <row r="150" spans="2:15" ht="25.5">
      <c r="B150" s="57">
        <v>1</v>
      </c>
      <c r="C150" s="81" t="s">
        <v>443</v>
      </c>
      <c r="D150" s="134" t="s">
        <v>397</v>
      </c>
      <c r="E150" s="134">
        <v>0</v>
      </c>
      <c r="F150" s="100" t="e">
        <f t="shared" ref="F150:F289" si="11">G150/E150</f>
        <v>#DIV/0!</v>
      </c>
      <c r="G150" s="100">
        <v>0</v>
      </c>
      <c r="H150" s="135">
        <v>0</v>
      </c>
      <c r="I150" s="135">
        <v>0</v>
      </c>
      <c r="J150" s="135">
        <v>0</v>
      </c>
      <c r="K150" s="135">
        <v>0</v>
      </c>
      <c r="L150" s="135">
        <v>0</v>
      </c>
      <c r="M150" s="135">
        <v>0</v>
      </c>
    </row>
    <row r="151" spans="2:15" ht="25.5">
      <c r="B151" s="57">
        <v>2</v>
      </c>
      <c r="C151" s="81" t="s">
        <v>444</v>
      </c>
      <c r="D151" s="134" t="s">
        <v>397</v>
      </c>
      <c r="E151" s="134">
        <v>0</v>
      </c>
      <c r="F151" s="100" t="e">
        <f t="shared" si="11"/>
        <v>#DIV/0!</v>
      </c>
      <c r="G151" s="100">
        <v>0</v>
      </c>
      <c r="H151" s="135">
        <v>0</v>
      </c>
      <c r="I151" s="135">
        <v>0</v>
      </c>
      <c r="J151" s="135">
        <v>0</v>
      </c>
      <c r="K151" s="135">
        <v>0</v>
      </c>
      <c r="L151" s="135">
        <v>0</v>
      </c>
      <c r="M151" s="135">
        <v>0</v>
      </c>
    </row>
    <row r="152" spans="2:15">
      <c r="B152" s="57">
        <v>3</v>
      </c>
      <c r="C152" s="81" t="s">
        <v>445</v>
      </c>
      <c r="D152" s="134" t="s">
        <v>397</v>
      </c>
      <c r="E152" s="134">
        <v>0</v>
      </c>
      <c r="F152" s="100">
        <v>0</v>
      </c>
      <c r="G152" s="100">
        <v>0</v>
      </c>
      <c r="H152" s="135">
        <v>0</v>
      </c>
      <c r="I152" s="135">
        <v>0</v>
      </c>
      <c r="J152" s="135">
        <v>0</v>
      </c>
      <c r="K152" s="135">
        <v>0</v>
      </c>
      <c r="L152" s="135">
        <v>0</v>
      </c>
      <c r="M152" s="135">
        <v>0</v>
      </c>
    </row>
    <row r="153" spans="2:15">
      <c r="B153" s="117"/>
      <c r="C153" s="128" t="s">
        <v>254</v>
      </c>
      <c r="D153" s="37" t="s">
        <v>25</v>
      </c>
      <c r="E153" s="99">
        <f>SUM(E150)</f>
        <v>0</v>
      </c>
      <c r="F153" s="100"/>
      <c r="G153" s="100">
        <f>SUM(G150:G152)</f>
        <v>0</v>
      </c>
      <c r="H153" s="135">
        <v>0</v>
      </c>
      <c r="I153" s="135">
        <v>0</v>
      </c>
      <c r="J153" s="135">
        <v>0</v>
      </c>
      <c r="K153" s="135">
        <v>0</v>
      </c>
      <c r="L153" s="135">
        <v>0</v>
      </c>
      <c r="M153" s="135">
        <v>0</v>
      </c>
      <c r="O153" s="136"/>
    </row>
    <row r="154" spans="2:15">
      <c r="B154" s="533"/>
      <c r="C154" s="533"/>
      <c r="D154" s="699"/>
      <c r="E154" s="699"/>
      <c r="F154" s="699"/>
      <c r="G154" s="699"/>
      <c r="H154" s="699"/>
      <c r="I154" s="699"/>
      <c r="J154" s="699"/>
      <c r="K154" s="699"/>
      <c r="L154" s="699"/>
      <c r="M154" s="699"/>
    </row>
    <row r="155" spans="2:15" ht="15.75">
      <c r="B155" s="586" t="s">
        <v>446</v>
      </c>
      <c r="C155" s="374"/>
      <c r="D155" s="374"/>
      <c r="E155" s="374"/>
      <c r="F155" s="374"/>
      <c r="G155" s="374"/>
      <c r="H155" s="374"/>
      <c r="I155" s="374"/>
      <c r="J155" s="374"/>
      <c r="K155" s="374"/>
      <c r="L155" s="374"/>
      <c r="M155" s="374"/>
      <c r="O155" s="136"/>
    </row>
    <row r="156" spans="2:15">
      <c r="B156" s="374"/>
      <c r="C156" s="374"/>
      <c r="D156" s="374"/>
      <c r="E156" s="374"/>
      <c r="F156" s="374"/>
      <c r="G156" s="374"/>
      <c r="H156" s="374"/>
      <c r="I156" s="374"/>
      <c r="J156" s="374"/>
      <c r="K156" s="374"/>
      <c r="L156" s="374"/>
      <c r="M156" s="374"/>
    </row>
    <row r="157" spans="2:15">
      <c r="B157" s="539" t="s">
        <v>235</v>
      </c>
      <c r="C157" s="539"/>
      <c r="D157" s="539"/>
      <c r="E157" s="539"/>
      <c r="F157" s="539"/>
      <c r="G157" s="539"/>
      <c r="H157" s="539"/>
      <c r="I157" s="539"/>
      <c r="J157" s="539"/>
      <c r="K157" s="539"/>
      <c r="L157" s="539"/>
      <c r="M157" s="539"/>
    </row>
    <row r="158" spans="2:15">
      <c r="B158" s="374" t="s">
        <v>236</v>
      </c>
      <c r="C158" s="374"/>
      <c r="D158" s="374"/>
      <c r="E158" s="374"/>
      <c r="F158" s="374"/>
      <c r="G158" s="374"/>
      <c r="H158" s="374"/>
      <c r="I158" s="374"/>
      <c r="J158" s="374"/>
      <c r="K158" s="374"/>
      <c r="L158" s="374"/>
      <c r="M158" s="374"/>
    </row>
    <row r="159" spans="2:15">
      <c r="B159" s="374" t="s">
        <v>647</v>
      </c>
      <c r="C159" s="374"/>
      <c r="D159" s="374"/>
      <c r="E159" s="374"/>
      <c r="F159" s="374"/>
      <c r="G159" s="374"/>
      <c r="H159" s="374"/>
      <c r="I159" s="374"/>
      <c r="J159" s="374"/>
      <c r="K159" s="374"/>
      <c r="L159" s="374"/>
      <c r="M159" s="374"/>
    </row>
    <row r="160" spans="2:15">
      <c r="B160" s="583" t="s">
        <v>669</v>
      </c>
      <c r="C160" s="374"/>
      <c r="D160" s="374"/>
      <c r="E160" s="374"/>
      <c r="F160" s="374"/>
      <c r="G160" s="374"/>
      <c r="H160" s="374"/>
      <c r="I160" s="374"/>
      <c r="J160" s="374"/>
      <c r="K160" s="374"/>
      <c r="L160" s="374"/>
      <c r="M160" s="374"/>
    </row>
    <row r="161" spans="2:16">
      <c r="B161" s="1065" t="s">
        <v>176</v>
      </c>
      <c r="C161" s="1065" t="s">
        <v>244</v>
      </c>
      <c r="D161" s="1065" t="s">
        <v>440</v>
      </c>
      <c r="E161" s="1066" t="s">
        <v>559</v>
      </c>
      <c r="F161" s="1069"/>
      <c r="G161" s="1067"/>
      <c r="H161" s="1066" t="s">
        <v>560</v>
      </c>
      <c r="I161" s="1069"/>
      <c r="J161" s="1067"/>
      <c r="K161" s="1066" t="s">
        <v>561</v>
      </c>
      <c r="L161" s="1069"/>
      <c r="M161" s="1067"/>
    </row>
    <row r="162" spans="2:16">
      <c r="B162" s="1065"/>
      <c r="C162" s="1065"/>
      <c r="D162" s="1065"/>
      <c r="E162" s="1065" t="s">
        <v>419</v>
      </c>
      <c r="F162" s="1104" t="s">
        <v>307</v>
      </c>
      <c r="G162" s="1104" t="s">
        <v>247</v>
      </c>
      <c r="H162" s="1104" t="s">
        <v>419</v>
      </c>
      <c r="I162" s="1104" t="s">
        <v>307</v>
      </c>
      <c r="J162" s="1065" t="s">
        <v>247</v>
      </c>
      <c r="K162" s="1065" t="s">
        <v>419</v>
      </c>
      <c r="L162" s="1104" t="s">
        <v>307</v>
      </c>
      <c r="M162" s="1065" t="s">
        <v>247</v>
      </c>
    </row>
    <row r="163" spans="2:16">
      <c r="B163" s="1065"/>
      <c r="C163" s="1065"/>
      <c r="D163" s="1065"/>
      <c r="E163" s="1065"/>
      <c r="F163" s="1104"/>
      <c r="G163" s="1104"/>
      <c r="H163" s="1104"/>
      <c r="I163" s="1104"/>
      <c r="J163" s="1065"/>
      <c r="K163" s="1065"/>
      <c r="L163" s="1104"/>
      <c r="M163" s="1065"/>
    </row>
    <row r="164" spans="2:16" ht="51.75" thickBot="1">
      <c r="B164" s="669" t="s">
        <v>219</v>
      </c>
      <c r="C164" s="670" t="s">
        <v>680</v>
      </c>
      <c r="D164" s="671" t="s">
        <v>25</v>
      </c>
      <c r="E164" s="671" t="s">
        <v>25</v>
      </c>
      <c r="F164" s="672" t="s">
        <v>25</v>
      </c>
      <c r="G164" s="673">
        <f>G165+G173</f>
        <v>44468.99</v>
      </c>
      <c r="H164" s="671" t="s">
        <v>25</v>
      </c>
      <c r="I164" s="672" t="s">
        <v>25</v>
      </c>
      <c r="J164" s="673">
        <v>477131.95</v>
      </c>
      <c r="K164" s="671" t="s">
        <v>25</v>
      </c>
      <c r="L164" s="672" t="s">
        <v>25</v>
      </c>
      <c r="M164" s="673">
        <v>341416.55</v>
      </c>
      <c r="O164" s="29">
        <v>345</v>
      </c>
      <c r="P164" s="29">
        <v>23000</v>
      </c>
    </row>
    <row r="165" spans="2:16" s="374" customFormat="1" ht="26.25" thickBot="1">
      <c r="B165" s="653" t="s">
        <v>177</v>
      </c>
      <c r="C165" s="654" t="s">
        <v>670</v>
      </c>
      <c r="D165" s="655" t="s">
        <v>25</v>
      </c>
      <c r="E165" s="655" t="s">
        <v>25</v>
      </c>
      <c r="F165" s="656" t="s">
        <v>25</v>
      </c>
      <c r="G165" s="657">
        <f>SUM(G166:G172)</f>
        <v>44069.99</v>
      </c>
      <c r="H165" s="658"/>
      <c r="I165" s="659"/>
      <c r="J165" s="660"/>
      <c r="K165" s="655"/>
      <c r="L165" s="659"/>
      <c r="M165" s="661"/>
    </row>
    <row r="166" spans="2:16" s="634" customFormat="1" ht="38.25">
      <c r="B166" s="646" t="s">
        <v>764</v>
      </c>
      <c r="C166" s="646" t="s">
        <v>671</v>
      </c>
      <c r="D166" s="647" t="s">
        <v>676</v>
      </c>
      <c r="E166" s="647">
        <v>3</v>
      </c>
      <c r="F166" s="648">
        <v>298</v>
      </c>
      <c r="G166" s="649">
        <v>893.99</v>
      </c>
      <c r="H166" s="650"/>
      <c r="I166" s="651"/>
      <c r="J166" s="652"/>
      <c r="K166" s="647"/>
      <c r="L166" s="651"/>
      <c r="M166" s="652"/>
    </row>
    <row r="167" spans="2:16" s="634" customFormat="1" ht="25.5">
      <c r="B167" s="621" t="s">
        <v>765</v>
      </c>
      <c r="C167" s="621" t="s">
        <v>852</v>
      </c>
      <c r="D167" s="639" t="s">
        <v>676</v>
      </c>
      <c r="E167" s="639">
        <v>6</v>
      </c>
      <c r="F167" s="640">
        <v>4690</v>
      </c>
      <c r="G167" s="641">
        <f t="shared" ref="G167:G174" si="12">E167*F167</f>
        <v>28140</v>
      </c>
      <c r="H167" s="642"/>
      <c r="I167" s="643"/>
      <c r="J167" s="644"/>
      <c r="K167" s="639"/>
      <c r="L167" s="643"/>
      <c r="M167" s="644"/>
    </row>
    <row r="168" spans="2:16" s="634" customFormat="1" ht="25.5">
      <c r="B168" s="621" t="s">
        <v>766</v>
      </c>
      <c r="C168" s="621" t="s">
        <v>672</v>
      </c>
      <c r="D168" s="639" t="s">
        <v>676</v>
      </c>
      <c r="E168" s="639">
        <v>1</v>
      </c>
      <c r="F168" s="640">
        <v>4800</v>
      </c>
      <c r="G168" s="641">
        <f t="shared" si="12"/>
        <v>4800</v>
      </c>
      <c r="H168" s="645"/>
      <c r="I168" s="642"/>
      <c r="J168" s="644"/>
      <c r="K168" s="639"/>
      <c r="L168" s="643"/>
      <c r="M168" s="644"/>
    </row>
    <row r="169" spans="2:16" s="634" customFormat="1" ht="25.5">
      <c r="B169" s="621" t="s">
        <v>767</v>
      </c>
      <c r="C169" s="621" t="s">
        <v>673</v>
      </c>
      <c r="D169" s="639" t="s">
        <v>676</v>
      </c>
      <c r="E169" s="639">
        <v>1</v>
      </c>
      <c r="F169" s="640">
        <v>4900</v>
      </c>
      <c r="G169" s="641">
        <f t="shared" si="12"/>
        <v>4900</v>
      </c>
      <c r="H169" s="642"/>
      <c r="I169" s="643"/>
      <c r="J169" s="644"/>
      <c r="K169" s="639"/>
      <c r="L169" s="643"/>
      <c r="M169" s="644"/>
    </row>
    <row r="170" spans="2:16" s="634" customFormat="1" ht="25.5">
      <c r="B170" s="621" t="s">
        <v>768</v>
      </c>
      <c r="C170" s="621" t="s">
        <v>674</v>
      </c>
      <c r="D170" s="639" t="s">
        <v>676</v>
      </c>
      <c r="E170" s="639">
        <v>1</v>
      </c>
      <c r="F170" s="640">
        <v>4500</v>
      </c>
      <c r="G170" s="641">
        <f t="shared" si="12"/>
        <v>4500</v>
      </c>
      <c r="H170" s="642"/>
      <c r="I170" s="643"/>
      <c r="J170" s="644"/>
      <c r="K170" s="639"/>
      <c r="L170" s="643"/>
      <c r="M170" s="644"/>
    </row>
    <row r="171" spans="2:16" s="634" customFormat="1">
      <c r="B171" s="621" t="s">
        <v>769</v>
      </c>
      <c r="C171" s="621" t="s">
        <v>675</v>
      </c>
      <c r="D171" s="639" t="s">
        <v>469</v>
      </c>
      <c r="E171" s="639">
        <v>1</v>
      </c>
      <c r="F171" s="640">
        <v>353</v>
      </c>
      <c r="G171" s="641">
        <f t="shared" si="12"/>
        <v>353</v>
      </c>
      <c r="H171" s="642"/>
      <c r="I171" s="643"/>
      <c r="J171" s="644"/>
      <c r="K171" s="639"/>
      <c r="L171" s="643"/>
      <c r="M171" s="644"/>
    </row>
    <row r="172" spans="2:16" s="634" customFormat="1" ht="15.75" thickBot="1">
      <c r="B172" s="662" t="s">
        <v>770</v>
      </c>
      <c r="C172" s="662" t="s">
        <v>675</v>
      </c>
      <c r="D172" s="663" t="s">
        <v>469</v>
      </c>
      <c r="E172" s="663">
        <v>1</v>
      </c>
      <c r="F172" s="664">
        <v>483</v>
      </c>
      <c r="G172" s="665">
        <f t="shared" si="12"/>
        <v>483</v>
      </c>
      <c r="H172" s="666"/>
      <c r="I172" s="667"/>
      <c r="J172" s="668"/>
      <c r="K172" s="663"/>
      <c r="L172" s="667"/>
      <c r="M172" s="668"/>
    </row>
    <row r="173" spans="2:16" s="120" customFormat="1" ht="39" thickBot="1">
      <c r="B173" s="653" t="s">
        <v>178</v>
      </c>
      <c r="C173" s="654" t="s">
        <v>677</v>
      </c>
      <c r="D173" s="655" t="s">
        <v>25</v>
      </c>
      <c r="E173" s="655" t="s">
        <v>25</v>
      </c>
      <c r="F173" s="656" t="s">
        <v>25</v>
      </c>
      <c r="G173" s="657">
        <f>G174</f>
        <v>399</v>
      </c>
      <c r="H173" s="658"/>
      <c r="I173" s="659"/>
      <c r="J173" s="660"/>
      <c r="K173" s="655"/>
      <c r="L173" s="659"/>
      <c r="M173" s="661"/>
    </row>
    <row r="174" spans="2:16" s="120" customFormat="1">
      <c r="B174" s="646" t="s">
        <v>771</v>
      </c>
      <c r="C174" s="646" t="s">
        <v>678</v>
      </c>
      <c r="D174" s="647" t="s">
        <v>679</v>
      </c>
      <c r="E174" s="647">
        <v>2</v>
      </c>
      <c r="F174" s="648">
        <v>199.5</v>
      </c>
      <c r="G174" s="649">
        <f t="shared" si="12"/>
        <v>399</v>
      </c>
      <c r="H174" s="650"/>
      <c r="I174" s="651"/>
      <c r="J174" s="652"/>
      <c r="K174" s="647"/>
      <c r="L174" s="651"/>
      <c r="M174" s="652"/>
    </row>
    <row r="175" spans="2:16" s="120" customFormat="1" ht="51.75" thickBot="1">
      <c r="B175" s="669" t="s">
        <v>221</v>
      </c>
      <c r="C175" s="670" t="s">
        <v>681</v>
      </c>
      <c r="D175" s="671" t="s">
        <v>25</v>
      </c>
      <c r="E175" s="671" t="s">
        <v>25</v>
      </c>
      <c r="F175" s="672" t="s">
        <v>25</v>
      </c>
      <c r="G175" s="673">
        <f>G176+G225</f>
        <v>143914.21</v>
      </c>
      <c r="H175" s="671"/>
      <c r="I175" s="672"/>
      <c r="J175" s="673"/>
      <c r="K175" s="671"/>
      <c r="L175" s="672"/>
      <c r="M175" s="673"/>
    </row>
    <row r="176" spans="2:16" s="374" customFormat="1" ht="39" thickBot="1">
      <c r="B176" s="653" t="s">
        <v>405</v>
      </c>
      <c r="C176" s="654" t="s">
        <v>824</v>
      </c>
      <c r="D176" s="655" t="s">
        <v>25</v>
      </c>
      <c r="E176" s="655" t="s">
        <v>25</v>
      </c>
      <c r="F176" s="656" t="s">
        <v>25</v>
      </c>
      <c r="G176" s="657">
        <f>SUM(G177:G224)</f>
        <v>94073.99</v>
      </c>
      <c r="H176" s="658"/>
      <c r="I176" s="659"/>
      <c r="J176" s="660"/>
      <c r="K176" s="655"/>
      <c r="L176" s="659"/>
      <c r="M176" s="661"/>
    </row>
    <row r="177" spans="2:13" s="120" customFormat="1">
      <c r="B177" s="646" t="s">
        <v>772</v>
      </c>
      <c r="C177" s="646" t="s">
        <v>682</v>
      </c>
      <c r="D177" s="647" t="s">
        <v>469</v>
      </c>
      <c r="E177" s="647">
        <v>14</v>
      </c>
      <c r="F177" s="648">
        <v>585</v>
      </c>
      <c r="G177" s="649">
        <f>E177*F177</f>
        <v>8190</v>
      </c>
      <c r="H177" s="674"/>
      <c r="I177" s="675"/>
      <c r="J177" s="676"/>
      <c r="K177" s="677"/>
      <c r="L177" s="675"/>
      <c r="M177" s="676"/>
    </row>
    <row r="178" spans="2:13" s="120" customFormat="1">
      <c r="B178" s="621" t="s">
        <v>773</v>
      </c>
      <c r="C178" s="621" t="s">
        <v>683</v>
      </c>
      <c r="D178" s="639" t="s">
        <v>469</v>
      </c>
      <c r="E178" s="639">
        <v>6</v>
      </c>
      <c r="F178" s="640">
        <v>835</v>
      </c>
      <c r="G178" s="641">
        <f t="shared" ref="G178:G240" si="13">E178*F178</f>
        <v>5010</v>
      </c>
      <c r="H178" s="636"/>
      <c r="I178" s="637"/>
      <c r="J178" s="638"/>
      <c r="K178" s="635"/>
      <c r="L178" s="637"/>
      <c r="M178" s="638"/>
    </row>
    <row r="179" spans="2:13" s="120" customFormat="1" ht="25.5">
      <c r="B179" s="621" t="s">
        <v>774</v>
      </c>
      <c r="C179" s="621" t="s">
        <v>684</v>
      </c>
      <c r="D179" s="639" t="s">
        <v>469</v>
      </c>
      <c r="E179" s="639">
        <v>14</v>
      </c>
      <c r="F179" s="640">
        <v>900</v>
      </c>
      <c r="G179" s="641">
        <f t="shared" si="13"/>
        <v>12600</v>
      </c>
      <c r="H179" s="636"/>
      <c r="I179" s="637"/>
      <c r="J179" s="638"/>
      <c r="K179" s="635"/>
      <c r="L179" s="637"/>
      <c r="M179" s="638"/>
    </row>
    <row r="180" spans="2:13" s="120" customFormat="1">
      <c r="B180" s="621" t="s">
        <v>775</v>
      </c>
      <c r="C180" s="621" t="s">
        <v>685</v>
      </c>
      <c r="D180" s="639" t="s">
        <v>469</v>
      </c>
      <c r="E180" s="639">
        <v>10</v>
      </c>
      <c r="F180" s="640">
        <v>860</v>
      </c>
      <c r="G180" s="641">
        <f t="shared" si="13"/>
        <v>8600</v>
      </c>
      <c r="H180" s="636"/>
      <c r="I180" s="637"/>
      <c r="J180" s="638"/>
      <c r="K180" s="635"/>
      <c r="L180" s="637"/>
      <c r="M180" s="638"/>
    </row>
    <row r="181" spans="2:13" s="120" customFormat="1">
      <c r="B181" s="621" t="s">
        <v>776</v>
      </c>
      <c r="C181" s="621" t="s">
        <v>686</v>
      </c>
      <c r="D181" s="639" t="s">
        <v>469</v>
      </c>
      <c r="E181" s="639">
        <v>15</v>
      </c>
      <c r="F181" s="640">
        <v>130</v>
      </c>
      <c r="G181" s="641">
        <f t="shared" si="13"/>
        <v>1950</v>
      </c>
      <c r="H181" s="636"/>
      <c r="I181" s="637"/>
      <c r="J181" s="638"/>
      <c r="K181" s="635"/>
      <c r="L181" s="637"/>
      <c r="M181" s="638"/>
    </row>
    <row r="182" spans="2:13" s="120" customFormat="1">
      <c r="B182" s="621" t="s">
        <v>777</v>
      </c>
      <c r="C182" s="621" t="s">
        <v>687</v>
      </c>
      <c r="D182" s="639" t="s">
        <v>469</v>
      </c>
      <c r="E182" s="639">
        <v>300</v>
      </c>
      <c r="F182" s="640">
        <v>1.2</v>
      </c>
      <c r="G182" s="641">
        <f t="shared" si="13"/>
        <v>360</v>
      </c>
      <c r="H182" s="636"/>
      <c r="I182" s="637"/>
      <c r="J182" s="638"/>
      <c r="K182" s="635"/>
      <c r="L182" s="637"/>
      <c r="M182" s="638"/>
    </row>
    <row r="183" spans="2:13" s="120" customFormat="1">
      <c r="B183" s="621" t="s">
        <v>778</v>
      </c>
      <c r="C183" s="621" t="s">
        <v>688</v>
      </c>
      <c r="D183" s="639" t="s">
        <v>730</v>
      </c>
      <c r="E183" s="639">
        <v>1</v>
      </c>
      <c r="F183" s="640">
        <v>50</v>
      </c>
      <c r="G183" s="641">
        <f t="shared" si="13"/>
        <v>50</v>
      </c>
      <c r="H183" s="636"/>
      <c r="I183" s="637"/>
      <c r="J183" s="638"/>
      <c r="K183" s="635"/>
      <c r="L183" s="637"/>
      <c r="M183" s="638"/>
    </row>
    <row r="184" spans="2:13" s="120" customFormat="1">
      <c r="B184" s="621" t="s">
        <v>779</v>
      </c>
      <c r="C184" s="621" t="s">
        <v>689</v>
      </c>
      <c r="D184" s="639" t="s">
        <v>731</v>
      </c>
      <c r="E184" s="639">
        <v>50</v>
      </c>
      <c r="F184" s="640">
        <v>3.5</v>
      </c>
      <c r="G184" s="641">
        <f t="shared" si="13"/>
        <v>175</v>
      </c>
      <c r="H184" s="636"/>
      <c r="I184" s="637"/>
      <c r="J184" s="638"/>
      <c r="K184" s="635"/>
      <c r="L184" s="637"/>
      <c r="M184" s="638"/>
    </row>
    <row r="185" spans="2:13" s="120" customFormat="1">
      <c r="B185" s="621" t="s">
        <v>780</v>
      </c>
      <c r="C185" s="621" t="s">
        <v>690</v>
      </c>
      <c r="D185" s="639" t="s">
        <v>469</v>
      </c>
      <c r="E185" s="639">
        <v>500</v>
      </c>
      <c r="F185" s="640">
        <v>0.8</v>
      </c>
      <c r="G185" s="641">
        <f t="shared" si="13"/>
        <v>400</v>
      </c>
      <c r="H185" s="636"/>
      <c r="I185" s="637"/>
      <c r="J185" s="638"/>
      <c r="K185" s="635"/>
      <c r="L185" s="637"/>
      <c r="M185" s="638"/>
    </row>
    <row r="186" spans="2:13" s="120" customFormat="1">
      <c r="B186" s="621" t="s">
        <v>781</v>
      </c>
      <c r="C186" s="621" t="s">
        <v>691</v>
      </c>
      <c r="D186" s="639" t="s">
        <v>732</v>
      </c>
      <c r="E186" s="639">
        <v>1.1399999999999999</v>
      </c>
      <c r="F186" s="640">
        <v>300</v>
      </c>
      <c r="G186" s="641">
        <f t="shared" si="13"/>
        <v>342</v>
      </c>
      <c r="H186" s="636"/>
      <c r="I186" s="637"/>
      <c r="J186" s="638"/>
      <c r="K186" s="635"/>
      <c r="L186" s="637"/>
      <c r="M186" s="638"/>
    </row>
    <row r="187" spans="2:13" s="120" customFormat="1" ht="25.5">
      <c r="B187" s="621" t="s">
        <v>782</v>
      </c>
      <c r="C187" s="621" t="s">
        <v>692</v>
      </c>
      <c r="D187" s="639" t="s">
        <v>732</v>
      </c>
      <c r="E187" s="639">
        <v>1</v>
      </c>
      <c r="F187" s="640">
        <v>330</v>
      </c>
      <c r="G187" s="641">
        <f t="shared" si="13"/>
        <v>330</v>
      </c>
      <c r="H187" s="636"/>
      <c r="I187" s="637"/>
      <c r="J187" s="638"/>
      <c r="K187" s="635"/>
      <c r="L187" s="637"/>
      <c r="M187" s="638"/>
    </row>
    <row r="188" spans="2:13" s="120" customFormat="1" ht="25.5">
      <c r="B188" s="621" t="s">
        <v>783</v>
      </c>
      <c r="C188" s="621" t="s">
        <v>693</v>
      </c>
      <c r="D188" s="639" t="s">
        <v>469</v>
      </c>
      <c r="E188" s="639">
        <v>22</v>
      </c>
      <c r="F188" s="640">
        <v>120</v>
      </c>
      <c r="G188" s="641">
        <f t="shared" si="13"/>
        <v>2640</v>
      </c>
      <c r="H188" s="636"/>
      <c r="I188" s="637"/>
      <c r="J188" s="638"/>
      <c r="K188" s="635"/>
      <c r="L188" s="637"/>
      <c r="M188" s="638"/>
    </row>
    <row r="189" spans="2:13" s="120" customFormat="1" ht="25.5">
      <c r="B189" s="621" t="s">
        <v>784</v>
      </c>
      <c r="C189" s="621" t="s">
        <v>694</v>
      </c>
      <c r="D189" s="639" t="s">
        <v>469</v>
      </c>
      <c r="E189" s="639">
        <v>6</v>
      </c>
      <c r="F189" s="640">
        <v>220</v>
      </c>
      <c r="G189" s="641">
        <f t="shared" si="13"/>
        <v>1320</v>
      </c>
      <c r="H189" s="636"/>
      <c r="I189" s="637"/>
      <c r="J189" s="638"/>
      <c r="K189" s="635"/>
      <c r="L189" s="637"/>
      <c r="M189" s="638"/>
    </row>
    <row r="190" spans="2:13" s="120" customFormat="1" ht="25.5">
      <c r="B190" s="621" t="s">
        <v>785</v>
      </c>
      <c r="C190" s="621" t="s">
        <v>695</v>
      </c>
      <c r="D190" s="639" t="s">
        <v>469</v>
      </c>
      <c r="E190" s="639">
        <v>12</v>
      </c>
      <c r="F190" s="640">
        <v>42</v>
      </c>
      <c r="G190" s="641">
        <f t="shared" si="13"/>
        <v>504</v>
      </c>
      <c r="H190" s="636"/>
      <c r="I190" s="637"/>
      <c r="J190" s="638"/>
      <c r="K190" s="635"/>
      <c r="L190" s="637"/>
      <c r="M190" s="638"/>
    </row>
    <row r="191" spans="2:13" s="120" customFormat="1">
      <c r="B191" s="621" t="s">
        <v>786</v>
      </c>
      <c r="C191" s="621" t="s">
        <v>696</v>
      </c>
      <c r="D191" s="639" t="s">
        <v>469</v>
      </c>
      <c r="E191" s="639">
        <v>4</v>
      </c>
      <c r="F191" s="640">
        <v>12.99</v>
      </c>
      <c r="G191" s="641">
        <f t="shared" si="13"/>
        <v>51.96</v>
      </c>
      <c r="H191" s="636"/>
      <c r="I191" s="637"/>
      <c r="J191" s="638"/>
      <c r="K191" s="635"/>
      <c r="L191" s="637"/>
      <c r="M191" s="638"/>
    </row>
    <row r="192" spans="2:13" s="120" customFormat="1" ht="25.5">
      <c r="B192" s="621" t="s">
        <v>787</v>
      </c>
      <c r="C192" s="621" t="s">
        <v>697</v>
      </c>
      <c r="D192" s="639" t="s">
        <v>469</v>
      </c>
      <c r="E192" s="639">
        <v>10</v>
      </c>
      <c r="F192" s="640">
        <v>124</v>
      </c>
      <c r="G192" s="641">
        <f t="shared" si="13"/>
        <v>1240</v>
      </c>
      <c r="H192" s="636"/>
      <c r="I192" s="637"/>
      <c r="J192" s="638"/>
      <c r="K192" s="635"/>
      <c r="L192" s="637"/>
      <c r="M192" s="638"/>
    </row>
    <row r="193" spans="2:13" s="120" customFormat="1">
      <c r="B193" s="621" t="s">
        <v>788</v>
      </c>
      <c r="C193" s="621" t="s">
        <v>698</v>
      </c>
      <c r="D193" s="639" t="s">
        <v>469</v>
      </c>
      <c r="E193" s="639">
        <v>1</v>
      </c>
      <c r="F193" s="640">
        <v>1060</v>
      </c>
      <c r="G193" s="641">
        <f t="shared" si="13"/>
        <v>1060</v>
      </c>
      <c r="H193" s="636"/>
      <c r="I193" s="637"/>
      <c r="J193" s="638"/>
      <c r="K193" s="635"/>
      <c r="L193" s="637"/>
      <c r="M193" s="638"/>
    </row>
    <row r="194" spans="2:13" s="120" customFormat="1" ht="25.5">
      <c r="B194" s="621" t="s">
        <v>789</v>
      </c>
      <c r="C194" s="621" t="s">
        <v>699</v>
      </c>
      <c r="D194" s="639" t="s">
        <v>469</v>
      </c>
      <c r="E194" s="639">
        <v>3</v>
      </c>
      <c r="F194" s="640">
        <v>89</v>
      </c>
      <c r="G194" s="641">
        <f t="shared" si="13"/>
        <v>267</v>
      </c>
      <c r="H194" s="636"/>
      <c r="I194" s="637"/>
      <c r="J194" s="638"/>
      <c r="K194" s="635"/>
      <c r="L194" s="637"/>
      <c r="M194" s="638"/>
    </row>
    <row r="195" spans="2:13" s="120" customFormat="1">
      <c r="B195" s="621" t="s">
        <v>790</v>
      </c>
      <c r="C195" s="621" t="s">
        <v>700</v>
      </c>
      <c r="D195" s="639" t="s">
        <v>469</v>
      </c>
      <c r="E195" s="639">
        <v>10</v>
      </c>
      <c r="F195" s="640">
        <v>189</v>
      </c>
      <c r="G195" s="641">
        <f t="shared" si="13"/>
        <v>1890</v>
      </c>
      <c r="H195" s="636"/>
      <c r="I195" s="637"/>
      <c r="J195" s="638"/>
      <c r="K195" s="635"/>
      <c r="L195" s="637"/>
      <c r="M195" s="638"/>
    </row>
    <row r="196" spans="2:13" s="120" customFormat="1">
      <c r="B196" s="621" t="s">
        <v>791</v>
      </c>
      <c r="C196" s="621" t="s">
        <v>701</v>
      </c>
      <c r="D196" s="639" t="s">
        <v>469</v>
      </c>
      <c r="E196" s="639">
        <v>1</v>
      </c>
      <c r="F196" s="640">
        <v>509</v>
      </c>
      <c r="G196" s="641">
        <f t="shared" si="13"/>
        <v>509</v>
      </c>
      <c r="H196" s="636"/>
      <c r="I196" s="637"/>
      <c r="J196" s="638"/>
      <c r="K196" s="635"/>
      <c r="L196" s="637"/>
      <c r="M196" s="638"/>
    </row>
    <row r="197" spans="2:13" s="120" customFormat="1" ht="25.5">
      <c r="B197" s="621" t="s">
        <v>792</v>
      </c>
      <c r="C197" s="621" t="s">
        <v>702</v>
      </c>
      <c r="D197" s="639" t="s">
        <v>469</v>
      </c>
      <c r="E197" s="639">
        <v>4</v>
      </c>
      <c r="F197" s="640">
        <v>695</v>
      </c>
      <c r="G197" s="641">
        <f t="shared" si="13"/>
        <v>2780</v>
      </c>
      <c r="H197" s="636"/>
      <c r="I197" s="637"/>
      <c r="J197" s="638"/>
      <c r="K197" s="635"/>
      <c r="L197" s="637"/>
      <c r="M197" s="638"/>
    </row>
    <row r="198" spans="2:13" s="120" customFormat="1">
      <c r="B198" s="621" t="s">
        <v>793</v>
      </c>
      <c r="C198" s="621" t="s">
        <v>703</v>
      </c>
      <c r="D198" s="639" t="s">
        <v>469</v>
      </c>
      <c r="E198" s="639">
        <v>3</v>
      </c>
      <c r="F198" s="640">
        <v>109</v>
      </c>
      <c r="G198" s="641">
        <f t="shared" si="13"/>
        <v>327</v>
      </c>
      <c r="H198" s="636"/>
      <c r="I198" s="637"/>
      <c r="J198" s="638"/>
      <c r="K198" s="635"/>
      <c r="L198" s="637"/>
      <c r="M198" s="638"/>
    </row>
    <row r="199" spans="2:13" s="120" customFormat="1" ht="25.5">
      <c r="B199" s="621" t="s">
        <v>794</v>
      </c>
      <c r="C199" s="621" t="s">
        <v>704</v>
      </c>
      <c r="D199" s="639" t="s">
        <v>469</v>
      </c>
      <c r="E199" s="639">
        <v>1</v>
      </c>
      <c r="F199" s="640">
        <v>579</v>
      </c>
      <c r="G199" s="641">
        <f t="shared" si="13"/>
        <v>579</v>
      </c>
      <c r="H199" s="636"/>
      <c r="I199" s="637"/>
      <c r="J199" s="638"/>
      <c r="K199" s="635"/>
      <c r="L199" s="637"/>
      <c r="M199" s="638"/>
    </row>
    <row r="200" spans="2:13" s="120" customFormat="1" ht="25.5">
      <c r="B200" s="621" t="s">
        <v>795</v>
      </c>
      <c r="C200" s="621" t="s">
        <v>705</v>
      </c>
      <c r="D200" s="639" t="s">
        <v>469</v>
      </c>
      <c r="E200" s="639">
        <v>3</v>
      </c>
      <c r="F200" s="640">
        <v>119</v>
      </c>
      <c r="G200" s="641">
        <f t="shared" si="13"/>
        <v>357</v>
      </c>
      <c r="H200" s="636"/>
      <c r="I200" s="637"/>
      <c r="J200" s="638"/>
      <c r="K200" s="635"/>
      <c r="L200" s="637"/>
      <c r="M200" s="638"/>
    </row>
    <row r="201" spans="2:13" s="120" customFormat="1">
      <c r="B201" s="621" t="s">
        <v>796</v>
      </c>
      <c r="C201" s="621" t="s">
        <v>706</v>
      </c>
      <c r="D201" s="639" t="s">
        <v>469</v>
      </c>
      <c r="E201" s="639">
        <v>1</v>
      </c>
      <c r="F201" s="640">
        <v>305</v>
      </c>
      <c r="G201" s="641">
        <f t="shared" si="13"/>
        <v>305</v>
      </c>
      <c r="H201" s="636"/>
      <c r="I201" s="637"/>
      <c r="J201" s="638"/>
      <c r="K201" s="635"/>
      <c r="L201" s="637"/>
      <c r="M201" s="638"/>
    </row>
    <row r="202" spans="2:13" s="120" customFormat="1">
      <c r="B202" s="621" t="s">
        <v>797</v>
      </c>
      <c r="C202" s="621" t="s">
        <v>707</v>
      </c>
      <c r="D202" s="639" t="s">
        <v>469</v>
      </c>
      <c r="E202" s="639">
        <v>1</v>
      </c>
      <c r="F202" s="640">
        <v>305</v>
      </c>
      <c r="G202" s="641">
        <f t="shared" si="13"/>
        <v>305</v>
      </c>
      <c r="H202" s="636"/>
      <c r="I202" s="637"/>
      <c r="J202" s="638"/>
      <c r="K202" s="635"/>
      <c r="L202" s="637"/>
      <c r="M202" s="638"/>
    </row>
    <row r="203" spans="2:13" s="120" customFormat="1">
      <c r="B203" s="621" t="s">
        <v>798</v>
      </c>
      <c r="C203" s="621" t="s">
        <v>708</v>
      </c>
      <c r="D203" s="639" t="s">
        <v>469</v>
      </c>
      <c r="E203" s="639">
        <v>1</v>
      </c>
      <c r="F203" s="640">
        <v>305</v>
      </c>
      <c r="G203" s="641">
        <f t="shared" si="13"/>
        <v>305</v>
      </c>
      <c r="H203" s="636"/>
      <c r="I203" s="637"/>
      <c r="J203" s="638"/>
      <c r="K203" s="635"/>
      <c r="L203" s="637"/>
      <c r="M203" s="638"/>
    </row>
    <row r="204" spans="2:13" s="120" customFormat="1" ht="25.5">
      <c r="B204" s="621" t="s">
        <v>799</v>
      </c>
      <c r="C204" s="621" t="s">
        <v>709</v>
      </c>
      <c r="D204" s="639" t="s">
        <v>469</v>
      </c>
      <c r="E204" s="639">
        <v>1</v>
      </c>
      <c r="F204" s="640">
        <v>305</v>
      </c>
      <c r="G204" s="641">
        <f t="shared" si="13"/>
        <v>305</v>
      </c>
      <c r="H204" s="636"/>
      <c r="I204" s="637"/>
      <c r="J204" s="638"/>
      <c r="K204" s="635"/>
      <c r="L204" s="637"/>
      <c r="M204" s="638"/>
    </row>
    <row r="205" spans="2:13" s="120" customFormat="1">
      <c r="B205" s="621" t="s">
        <v>800</v>
      </c>
      <c r="C205" s="621" t="s">
        <v>710</v>
      </c>
      <c r="D205" s="639" t="s">
        <v>469</v>
      </c>
      <c r="E205" s="639">
        <v>2</v>
      </c>
      <c r="F205" s="640">
        <v>49</v>
      </c>
      <c r="G205" s="641">
        <f t="shared" si="13"/>
        <v>98</v>
      </c>
      <c r="H205" s="636"/>
      <c r="I205" s="637"/>
      <c r="J205" s="638"/>
      <c r="K205" s="635"/>
      <c r="L205" s="637"/>
      <c r="M205" s="638"/>
    </row>
    <row r="206" spans="2:13" s="120" customFormat="1">
      <c r="B206" s="621" t="s">
        <v>801</v>
      </c>
      <c r="C206" s="621" t="s">
        <v>711</v>
      </c>
      <c r="D206" s="639" t="s">
        <v>733</v>
      </c>
      <c r="E206" s="639">
        <v>27</v>
      </c>
      <c r="F206" s="640">
        <v>310</v>
      </c>
      <c r="G206" s="641">
        <f t="shared" si="13"/>
        <v>8370</v>
      </c>
      <c r="H206" s="636"/>
      <c r="I206" s="637"/>
      <c r="J206" s="638"/>
      <c r="K206" s="635"/>
      <c r="L206" s="637"/>
      <c r="M206" s="638"/>
    </row>
    <row r="207" spans="2:13" s="120" customFormat="1">
      <c r="B207" s="621" t="s">
        <v>802</v>
      </c>
      <c r="C207" s="621" t="s">
        <v>712</v>
      </c>
      <c r="D207" s="639" t="s">
        <v>734</v>
      </c>
      <c r="E207" s="639">
        <v>25</v>
      </c>
      <c r="F207" s="640">
        <v>30</v>
      </c>
      <c r="G207" s="641">
        <f t="shared" si="13"/>
        <v>750</v>
      </c>
      <c r="H207" s="636"/>
      <c r="I207" s="637"/>
      <c r="J207" s="638"/>
      <c r="K207" s="635"/>
      <c r="L207" s="637"/>
      <c r="M207" s="638"/>
    </row>
    <row r="208" spans="2:13" s="120" customFormat="1">
      <c r="B208" s="621" t="s">
        <v>803</v>
      </c>
      <c r="C208" s="621" t="s">
        <v>713</v>
      </c>
      <c r="D208" s="639" t="s">
        <v>733</v>
      </c>
      <c r="E208" s="639">
        <v>11</v>
      </c>
      <c r="F208" s="640">
        <v>900</v>
      </c>
      <c r="G208" s="641">
        <f t="shared" si="13"/>
        <v>9900</v>
      </c>
      <c r="H208" s="636"/>
      <c r="I208" s="637"/>
      <c r="J208" s="638"/>
      <c r="K208" s="635"/>
      <c r="L208" s="637"/>
      <c r="M208" s="638"/>
    </row>
    <row r="209" spans="2:13" s="120" customFormat="1">
      <c r="B209" s="621" t="s">
        <v>804</v>
      </c>
      <c r="C209" s="621" t="s">
        <v>714</v>
      </c>
      <c r="D209" s="639" t="s">
        <v>733</v>
      </c>
      <c r="E209" s="639">
        <v>2</v>
      </c>
      <c r="F209" s="640">
        <v>300</v>
      </c>
      <c r="G209" s="641">
        <f t="shared" si="13"/>
        <v>600</v>
      </c>
      <c r="H209" s="636"/>
      <c r="I209" s="637"/>
      <c r="J209" s="638"/>
      <c r="K209" s="635"/>
      <c r="L209" s="637"/>
      <c r="M209" s="638"/>
    </row>
    <row r="210" spans="2:13" s="120" customFormat="1">
      <c r="B210" s="621" t="s">
        <v>805</v>
      </c>
      <c r="C210" s="621" t="s">
        <v>715</v>
      </c>
      <c r="D210" s="639" t="s">
        <v>469</v>
      </c>
      <c r="E210" s="639">
        <v>25</v>
      </c>
      <c r="F210" s="640">
        <v>20</v>
      </c>
      <c r="G210" s="641">
        <f t="shared" si="13"/>
        <v>500</v>
      </c>
      <c r="H210" s="636"/>
      <c r="I210" s="637"/>
      <c r="J210" s="638"/>
      <c r="K210" s="635"/>
      <c r="L210" s="637"/>
      <c r="M210" s="638"/>
    </row>
    <row r="211" spans="2:13" s="120" customFormat="1">
      <c r="B211" s="621" t="s">
        <v>806</v>
      </c>
      <c r="C211" s="621" t="s">
        <v>716</v>
      </c>
      <c r="D211" s="639" t="s">
        <v>735</v>
      </c>
      <c r="E211" s="639">
        <v>8</v>
      </c>
      <c r="F211" s="640">
        <v>45</v>
      </c>
      <c r="G211" s="641">
        <f t="shared" si="13"/>
        <v>360</v>
      </c>
      <c r="H211" s="636"/>
      <c r="I211" s="637"/>
      <c r="J211" s="638"/>
      <c r="K211" s="635"/>
      <c r="L211" s="637"/>
      <c r="M211" s="638"/>
    </row>
    <row r="212" spans="2:13" s="120" customFormat="1">
      <c r="B212" s="621" t="s">
        <v>807</v>
      </c>
      <c r="C212" s="621" t="s">
        <v>717</v>
      </c>
      <c r="D212" s="639" t="s">
        <v>733</v>
      </c>
      <c r="E212" s="639">
        <v>3</v>
      </c>
      <c r="F212" s="640">
        <v>25</v>
      </c>
      <c r="G212" s="641">
        <f t="shared" si="13"/>
        <v>75</v>
      </c>
      <c r="H212" s="636"/>
      <c r="I212" s="637"/>
      <c r="J212" s="638"/>
      <c r="K212" s="635"/>
      <c r="L212" s="637"/>
      <c r="M212" s="638"/>
    </row>
    <row r="213" spans="2:13" s="120" customFormat="1">
      <c r="B213" s="621" t="s">
        <v>808</v>
      </c>
      <c r="C213" s="621" t="s">
        <v>718</v>
      </c>
      <c r="D213" s="639" t="s">
        <v>733</v>
      </c>
      <c r="E213" s="639">
        <v>1</v>
      </c>
      <c r="F213" s="640">
        <v>350</v>
      </c>
      <c r="G213" s="641">
        <f t="shared" si="13"/>
        <v>350</v>
      </c>
      <c r="H213" s="636"/>
      <c r="I213" s="637"/>
      <c r="J213" s="638"/>
      <c r="K213" s="635"/>
      <c r="L213" s="637"/>
      <c r="M213" s="638"/>
    </row>
    <row r="214" spans="2:13" s="120" customFormat="1">
      <c r="B214" s="621" t="s">
        <v>809</v>
      </c>
      <c r="C214" s="621" t="s">
        <v>719</v>
      </c>
      <c r="D214" s="639" t="s">
        <v>469</v>
      </c>
      <c r="E214" s="639">
        <v>3</v>
      </c>
      <c r="F214" s="640">
        <v>25</v>
      </c>
      <c r="G214" s="641">
        <f t="shared" si="13"/>
        <v>75</v>
      </c>
      <c r="H214" s="636"/>
      <c r="I214" s="637"/>
      <c r="J214" s="638"/>
      <c r="K214" s="635"/>
      <c r="L214" s="637"/>
      <c r="M214" s="638"/>
    </row>
    <row r="215" spans="2:13" s="120" customFormat="1">
      <c r="B215" s="621" t="s">
        <v>810</v>
      </c>
      <c r="C215" s="621" t="s">
        <v>720</v>
      </c>
      <c r="D215" s="639" t="s">
        <v>469</v>
      </c>
      <c r="E215" s="639">
        <v>2</v>
      </c>
      <c r="F215" s="640">
        <v>50</v>
      </c>
      <c r="G215" s="641">
        <f t="shared" si="13"/>
        <v>100</v>
      </c>
      <c r="H215" s="636"/>
      <c r="I215" s="637"/>
      <c r="J215" s="638"/>
      <c r="K215" s="635"/>
      <c r="L215" s="637"/>
      <c r="M215" s="638"/>
    </row>
    <row r="216" spans="2:13" s="120" customFormat="1">
      <c r="B216" s="621" t="s">
        <v>811</v>
      </c>
      <c r="C216" s="621" t="s">
        <v>721</v>
      </c>
      <c r="D216" s="639" t="s">
        <v>733</v>
      </c>
      <c r="E216" s="639">
        <v>12</v>
      </c>
      <c r="F216" s="640">
        <v>270</v>
      </c>
      <c r="G216" s="641">
        <f t="shared" si="13"/>
        <v>3240</v>
      </c>
      <c r="H216" s="636"/>
      <c r="I216" s="637"/>
      <c r="J216" s="638"/>
      <c r="K216" s="635"/>
      <c r="L216" s="637"/>
      <c r="M216" s="638"/>
    </row>
    <row r="217" spans="2:13" s="120" customFormat="1">
      <c r="B217" s="621" t="s">
        <v>812</v>
      </c>
      <c r="C217" s="621" t="s">
        <v>722</v>
      </c>
      <c r="D217" s="639" t="s">
        <v>733</v>
      </c>
      <c r="E217" s="639">
        <v>1</v>
      </c>
      <c r="F217" s="640">
        <v>65.03</v>
      </c>
      <c r="G217" s="641">
        <f t="shared" si="13"/>
        <v>65.03</v>
      </c>
      <c r="H217" s="636"/>
      <c r="I217" s="637"/>
      <c r="J217" s="638"/>
      <c r="K217" s="635"/>
      <c r="L217" s="637"/>
      <c r="M217" s="638"/>
    </row>
    <row r="218" spans="2:13" s="120" customFormat="1">
      <c r="B218" s="621" t="s">
        <v>813</v>
      </c>
      <c r="C218" s="621" t="s">
        <v>723</v>
      </c>
      <c r="D218" s="639" t="s">
        <v>733</v>
      </c>
      <c r="E218" s="639">
        <v>9</v>
      </c>
      <c r="F218" s="640">
        <v>400</v>
      </c>
      <c r="G218" s="641">
        <f t="shared" si="13"/>
        <v>3600</v>
      </c>
      <c r="H218" s="636"/>
      <c r="I218" s="637"/>
      <c r="J218" s="638"/>
      <c r="K218" s="635"/>
      <c r="L218" s="637"/>
      <c r="M218" s="638"/>
    </row>
    <row r="219" spans="2:13" s="120" customFormat="1">
      <c r="B219" s="621" t="s">
        <v>814</v>
      </c>
      <c r="C219" s="621" t="s">
        <v>724</v>
      </c>
      <c r="D219" s="639" t="s">
        <v>469</v>
      </c>
      <c r="E219" s="639">
        <v>1</v>
      </c>
      <c r="F219" s="640">
        <v>700</v>
      </c>
      <c r="G219" s="641">
        <f t="shared" si="13"/>
        <v>700</v>
      </c>
      <c r="H219" s="636"/>
      <c r="I219" s="637"/>
      <c r="J219" s="638"/>
      <c r="K219" s="635"/>
      <c r="L219" s="637"/>
      <c r="M219" s="638"/>
    </row>
    <row r="220" spans="2:13" s="120" customFormat="1">
      <c r="B220" s="621" t="s">
        <v>815</v>
      </c>
      <c r="C220" s="621" t="s">
        <v>725</v>
      </c>
      <c r="D220" s="639" t="s">
        <v>456</v>
      </c>
      <c r="E220" s="639">
        <v>1</v>
      </c>
      <c r="F220" s="640">
        <v>3375</v>
      </c>
      <c r="G220" s="641">
        <f t="shared" si="13"/>
        <v>3375</v>
      </c>
      <c r="H220" s="636"/>
      <c r="I220" s="637"/>
      <c r="J220" s="638"/>
      <c r="K220" s="635"/>
      <c r="L220" s="637"/>
      <c r="M220" s="638"/>
    </row>
    <row r="221" spans="2:13" s="120" customFormat="1">
      <c r="B221" s="621" t="s">
        <v>816</v>
      </c>
      <c r="C221" s="621" t="s">
        <v>726</v>
      </c>
      <c r="D221" s="639" t="s">
        <v>469</v>
      </c>
      <c r="E221" s="639">
        <v>4</v>
      </c>
      <c r="F221" s="640">
        <v>690</v>
      </c>
      <c r="G221" s="641">
        <f t="shared" si="13"/>
        <v>2760</v>
      </c>
      <c r="H221" s="636"/>
      <c r="I221" s="637"/>
      <c r="J221" s="638"/>
      <c r="K221" s="635"/>
      <c r="L221" s="637"/>
      <c r="M221" s="638"/>
    </row>
    <row r="222" spans="2:13" s="120" customFormat="1">
      <c r="B222" s="621" t="s">
        <v>817</v>
      </c>
      <c r="C222" s="621" t="s">
        <v>727</v>
      </c>
      <c r="D222" s="639" t="s">
        <v>469</v>
      </c>
      <c r="E222" s="639">
        <v>12</v>
      </c>
      <c r="F222" s="640">
        <v>17</v>
      </c>
      <c r="G222" s="641">
        <f t="shared" si="13"/>
        <v>204</v>
      </c>
      <c r="H222" s="636"/>
      <c r="I222" s="637"/>
      <c r="J222" s="638"/>
      <c r="K222" s="635"/>
      <c r="L222" s="637"/>
      <c r="M222" s="638"/>
    </row>
    <row r="223" spans="2:13" s="120" customFormat="1" ht="25.5">
      <c r="B223" s="621" t="s">
        <v>818</v>
      </c>
      <c r="C223" s="621" t="s">
        <v>728</v>
      </c>
      <c r="D223" s="639" t="s">
        <v>469</v>
      </c>
      <c r="E223" s="639">
        <v>50</v>
      </c>
      <c r="F223" s="640">
        <v>84</v>
      </c>
      <c r="G223" s="641">
        <f t="shared" si="13"/>
        <v>4200</v>
      </c>
      <c r="H223" s="636"/>
      <c r="I223" s="637"/>
      <c r="J223" s="638"/>
      <c r="K223" s="635"/>
      <c r="L223" s="637"/>
      <c r="M223" s="638"/>
    </row>
    <row r="224" spans="2:13" s="120" customFormat="1" ht="26.25" thickBot="1">
      <c r="B224" s="662" t="s">
        <v>819</v>
      </c>
      <c r="C224" s="662" t="s">
        <v>729</v>
      </c>
      <c r="D224" s="663" t="s">
        <v>469</v>
      </c>
      <c r="E224" s="663">
        <v>50</v>
      </c>
      <c r="F224" s="664">
        <v>40</v>
      </c>
      <c r="G224" s="665">
        <f>E224*F224</f>
        <v>2000</v>
      </c>
      <c r="H224" s="695"/>
      <c r="I224" s="696"/>
      <c r="J224" s="697"/>
      <c r="K224" s="698"/>
      <c r="L224" s="696"/>
      <c r="M224" s="697"/>
    </row>
    <row r="225" spans="2:13" s="120" customFormat="1" ht="39" thickBot="1">
      <c r="B225" s="653" t="s">
        <v>820</v>
      </c>
      <c r="C225" s="654" t="s">
        <v>851</v>
      </c>
      <c r="D225" s="655" t="s">
        <v>25</v>
      </c>
      <c r="E225" s="655" t="s">
        <v>25</v>
      </c>
      <c r="F225" s="656" t="s">
        <v>25</v>
      </c>
      <c r="G225" s="657">
        <f>SUM(G226:H253)</f>
        <v>49840.22</v>
      </c>
      <c r="H225" s="690"/>
      <c r="I225" s="691"/>
      <c r="J225" s="692"/>
      <c r="K225" s="693"/>
      <c r="L225" s="691"/>
      <c r="M225" s="694"/>
    </row>
    <row r="226" spans="2:13" s="120" customFormat="1">
      <c r="B226" s="646" t="s">
        <v>821</v>
      </c>
      <c r="C226" s="646" t="s">
        <v>736</v>
      </c>
      <c r="D226" s="647" t="s">
        <v>469</v>
      </c>
      <c r="E226" s="647">
        <v>1</v>
      </c>
      <c r="F226" s="648">
        <v>380</v>
      </c>
      <c r="G226" s="649">
        <f t="shared" si="13"/>
        <v>380</v>
      </c>
      <c r="H226" s="687"/>
      <c r="I226" s="688"/>
      <c r="J226" s="689"/>
      <c r="K226" s="684"/>
      <c r="L226" s="688"/>
      <c r="M226" s="689"/>
    </row>
    <row r="227" spans="2:13" s="120" customFormat="1">
      <c r="B227" s="621" t="s">
        <v>822</v>
      </c>
      <c r="C227" s="621" t="s">
        <v>737</v>
      </c>
      <c r="D227" s="639" t="s">
        <v>469</v>
      </c>
      <c r="E227" s="639">
        <v>1</v>
      </c>
      <c r="F227" s="640">
        <v>2500</v>
      </c>
      <c r="G227" s="641">
        <f t="shared" si="13"/>
        <v>2500</v>
      </c>
      <c r="H227" s="497"/>
      <c r="I227" s="498"/>
      <c r="J227" s="499"/>
      <c r="K227" s="494"/>
      <c r="L227" s="498"/>
      <c r="M227" s="499"/>
    </row>
    <row r="228" spans="2:13" s="120" customFormat="1" ht="25.5">
      <c r="B228" s="621" t="s">
        <v>823</v>
      </c>
      <c r="C228" s="621" t="s">
        <v>738</v>
      </c>
      <c r="D228" s="639" t="s">
        <v>469</v>
      </c>
      <c r="E228" s="639">
        <v>2</v>
      </c>
      <c r="F228" s="640">
        <v>250</v>
      </c>
      <c r="G228" s="641">
        <f t="shared" si="13"/>
        <v>500</v>
      </c>
      <c r="H228" s="497"/>
      <c r="I228" s="498"/>
      <c r="J228" s="499"/>
      <c r="K228" s="494"/>
      <c r="L228" s="498"/>
      <c r="M228" s="499"/>
    </row>
    <row r="229" spans="2:13" s="120" customFormat="1" ht="25.5">
      <c r="B229" s="621" t="s">
        <v>825</v>
      </c>
      <c r="C229" s="621" t="s">
        <v>739</v>
      </c>
      <c r="D229" s="639" t="s">
        <v>469</v>
      </c>
      <c r="E229" s="639">
        <v>1</v>
      </c>
      <c r="F229" s="640">
        <v>250</v>
      </c>
      <c r="G229" s="641">
        <f t="shared" si="13"/>
        <v>250</v>
      </c>
      <c r="H229" s="497"/>
      <c r="I229" s="498"/>
      <c r="J229" s="499"/>
      <c r="K229" s="494"/>
      <c r="L229" s="498"/>
      <c r="M229" s="499"/>
    </row>
    <row r="230" spans="2:13" s="120" customFormat="1" ht="25.5">
      <c r="B230" s="621" t="s">
        <v>826</v>
      </c>
      <c r="C230" s="621" t="s">
        <v>740</v>
      </c>
      <c r="D230" s="639" t="s">
        <v>469</v>
      </c>
      <c r="E230" s="639">
        <v>2</v>
      </c>
      <c r="F230" s="640">
        <v>250</v>
      </c>
      <c r="G230" s="641">
        <f t="shared" si="13"/>
        <v>500</v>
      </c>
      <c r="H230" s="497"/>
      <c r="I230" s="498"/>
      <c r="J230" s="499"/>
      <c r="K230" s="494"/>
      <c r="L230" s="498"/>
      <c r="M230" s="499"/>
    </row>
    <row r="231" spans="2:13" s="120" customFormat="1" ht="25.5">
      <c r="B231" s="621" t="s">
        <v>827</v>
      </c>
      <c r="C231" s="621" t="s">
        <v>741</v>
      </c>
      <c r="D231" s="639" t="s">
        <v>469</v>
      </c>
      <c r="E231" s="639">
        <v>1</v>
      </c>
      <c r="F231" s="640">
        <v>250</v>
      </c>
      <c r="G231" s="641">
        <f t="shared" si="13"/>
        <v>250</v>
      </c>
      <c r="H231" s="497"/>
      <c r="I231" s="498"/>
      <c r="J231" s="499"/>
      <c r="K231" s="494"/>
      <c r="L231" s="498"/>
      <c r="M231" s="499"/>
    </row>
    <row r="232" spans="2:13" s="120" customFormat="1" ht="25.5">
      <c r="B232" s="621" t="s">
        <v>828</v>
      </c>
      <c r="C232" s="621" t="s">
        <v>742</v>
      </c>
      <c r="D232" s="639" t="s">
        <v>469</v>
      </c>
      <c r="E232" s="639">
        <v>1</v>
      </c>
      <c r="F232" s="640">
        <v>250</v>
      </c>
      <c r="G232" s="641">
        <f t="shared" si="13"/>
        <v>250</v>
      </c>
      <c r="H232" s="497"/>
      <c r="I232" s="498"/>
      <c r="J232" s="499"/>
      <c r="K232" s="494"/>
      <c r="L232" s="498"/>
      <c r="M232" s="499"/>
    </row>
    <row r="233" spans="2:13" s="120" customFormat="1" ht="25.5">
      <c r="B233" s="621" t="s">
        <v>829</v>
      </c>
      <c r="C233" s="621" t="s">
        <v>743</v>
      </c>
      <c r="D233" s="639" t="s">
        <v>469</v>
      </c>
      <c r="E233" s="639">
        <v>1</v>
      </c>
      <c r="F233" s="640">
        <v>400</v>
      </c>
      <c r="G233" s="641">
        <f t="shared" si="13"/>
        <v>400</v>
      </c>
      <c r="H233" s="497"/>
      <c r="I233" s="498"/>
      <c r="J233" s="499"/>
      <c r="K233" s="494"/>
      <c r="L233" s="498"/>
      <c r="M233" s="499"/>
    </row>
    <row r="234" spans="2:13" s="120" customFormat="1">
      <c r="B234" s="621" t="s">
        <v>830</v>
      </c>
      <c r="C234" s="621" t="s">
        <v>744</v>
      </c>
      <c r="D234" s="639" t="s">
        <v>469</v>
      </c>
      <c r="E234" s="639">
        <v>1</v>
      </c>
      <c r="F234" s="640">
        <v>230</v>
      </c>
      <c r="G234" s="641">
        <f t="shared" si="13"/>
        <v>230</v>
      </c>
      <c r="H234" s="497"/>
      <c r="I234" s="498"/>
      <c r="J234" s="499"/>
      <c r="K234" s="494"/>
      <c r="L234" s="498"/>
      <c r="M234" s="499"/>
    </row>
    <row r="235" spans="2:13" s="120" customFormat="1">
      <c r="B235" s="621" t="s">
        <v>831</v>
      </c>
      <c r="C235" s="621" t="s">
        <v>745</v>
      </c>
      <c r="D235" s="639" t="s">
        <v>469</v>
      </c>
      <c r="E235" s="639">
        <v>1</v>
      </c>
      <c r="F235" s="640">
        <v>3200</v>
      </c>
      <c r="G235" s="641">
        <f t="shared" si="13"/>
        <v>3200</v>
      </c>
      <c r="H235" s="497"/>
      <c r="I235" s="498"/>
      <c r="J235" s="499"/>
      <c r="K235" s="494"/>
      <c r="L235" s="498"/>
      <c r="M235" s="499"/>
    </row>
    <row r="236" spans="2:13" s="120" customFormat="1" ht="25.5">
      <c r="B236" s="621" t="s">
        <v>832</v>
      </c>
      <c r="C236" s="621" t="s">
        <v>746</v>
      </c>
      <c r="D236" s="639" t="s">
        <v>469</v>
      </c>
      <c r="E236" s="639">
        <v>6</v>
      </c>
      <c r="F236" s="640">
        <v>85</v>
      </c>
      <c r="G236" s="641">
        <v>509.98</v>
      </c>
      <c r="H236" s="497"/>
      <c r="I236" s="498"/>
      <c r="J236" s="499"/>
      <c r="K236" s="494"/>
      <c r="L236" s="498"/>
      <c r="M236" s="499"/>
    </row>
    <row r="237" spans="2:13" s="120" customFormat="1">
      <c r="B237" s="621" t="s">
        <v>833</v>
      </c>
      <c r="C237" s="621" t="s">
        <v>747</v>
      </c>
      <c r="D237" s="639" t="s">
        <v>469</v>
      </c>
      <c r="E237" s="639">
        <v>60</v>
      </c>
      <c r="F237" s="640">
        <v>50</v>
      </c>
      <c r="G237" s="641">
        <v>3000.24</v>
      </c>
      <c r="H237" s="497"/>
      <c r="I237" s="498"/>
      <c r="J237" s="499"/>
      <c r="K237" s="494"/>
      <c r="L237" s="498"/>
      <c r="M237" s="499"/>
    </row>
    <row r="238" spans="2:13" s="120" customFormat="1" ht="38.25">
      <c r="B238" s="621" t="s">
        <v>834</v>
      </c>
      <c r="C238" s="621" t="s">
        <v>748</v>
      </c>
      <c r="D238" s="639" t="s">
        <v>733</v>
      </c>
      <c r="E238" s="639">
        <v>19</v>
      </c>
      <c r="F238" s="640">
        <v>350</v>
      </c>
      <c r="G238" s="641">
        <f t="shared" si="13"/>
        <v>6650</v>
      </c>
      <c r="H238" s="497"/>
      <c r="I238" s="498"/>
      <c r="J238" s="499"/>
      <c r="K238" s="494"/>
      <c r="L238" s="498"/>
      <c r="M238" s="499"/>
    </row>
    <row r="239" spans="2:13" s="120" customFormat="1" ht="38.25">
      <c r="B239" s="621" t="s">
        <v>835</v>
      </c>
      <c r="C239" s="621" t="s">
        <v>749</v>
      </c>
      <c r="D239" s="639" t="s">
        <v>733</v>
      </c>
      <c r="E239" s="639">
        <v>2</v>
      </c>
      <c r="F239" s="640">
        <v>600</v>
      </c>
      <c r="G239" s="641">
        <f t="shared" si="13"/>
        <v>1200</v>
      </c>
      <c r="H239" s="497"/>
      <c r="I239" s="498"/>
      <c r="J239" s="499"/>
      <c r="K239" s="494"/>
      <c r="L239" s="498"/>
      <c r="M239" s="499"/>
    </row>
    <row r="240" spans="2:13" s="120" customFormat="1" ht="38.25">
      <c r="B240" s="621" t="s">
        <v>836</v>
      </c>
      <c r="C240" s="621" t="s">
        <v>750</v>
      </c>
      <c r="D240" s="639" t="s">
        <v>733</v>
      </c>
      <c r="E240" s="639">
        <v>0.2</v>
      </c>
      <c r="F240" s="640">
        <v>1000</v>
      </c>
      <c r="G240" s="641">
        <f t="shared" si="13"/>
        <v>200</v>
      </c>
      <c r="H240" s="497"/>
      <c r="I240" s="498"/>
      <c r="J240" s="499"/>
      <c r="K240" s="494"/>
      <c r="L240" s="498"/>
      <c r="M240" s="499"/>
    </row>
    <row r="241" spans="2:13" s="120" customFormat="1" ht="25.5">
      <c r="B241" s="621" t="s">
        <v>837</v>
      </c>
      <c r="C241" s="621" t="s">
        <v>751</v>
      </c>
      <c r="D241" s="639" t="s">
        <v>733</v>
      </c>
      <c r="E241" s="639">
        <v>9</v>
      </c>
      <c r="F241" s="640">
        <v>380</v>
      </c>
      <c r="G241" s="641">
        <f t="shared" ref="G241:G253" si="14">E241*F241</f>
        <v>3420</v>
      </c>
      <c r="H241" s="497"/>
      <c r="I241" s="498"/>
      <c r="J241" s="499"/>
      <c r="K241" s="494"/>
      <c r="L241" s="498"/>
      <c r="M241" s="499"/>
    </row>
    <row r="242" spans="2:13" s="120" customFormat="1">
      <c r="B242" s="621" t="s">
        <v>838</v>
      </c>
      <c r="C242" s="621" t="s">
        <v>752</v>
      </c>
      <c r="D242" s="639" t="s">
        <v>469</v>
      </c>
      <c r="E242" s="639">
        <v>2</v>
      </c>
      <c r="F242" s="640">
        <v>150</v>
      </c>
      <c r="G242" s="641">
        <f t="shared" si="14"/>
        <v>300</v>
      </c>
      <c r="H242" s="497"/>
      <c r="I242" s="498"/>
      <c r="J242" s="499"/>
      <c r="K242" s="494"/>
      <c r="L242" s="498"/>
      <c r="M242" s="499"/>
    </row>
    <row r="243" spans="2:13" s="120" customFormat="1" ht="38.25">
      <c r="B243" s="621" t="s">
        <v>839</v>
      </c>
      <c r="C243" s="621" t="s">
        <v>753</v>
      </c>
      <c r="D243" s="639" t="s">
        <v>733</v>
      </c>
      <c r="E243" s="639">
        <v>0.5</v>
      </c>
      <c r="F243" s="640">
        <v>800</v>
      </c>
      <c r="G243" s="641">
        <f t="shared" si="14"/>
        <v>400</v>
      </c>
      <c r="H243" s="497"/>
      <c r="I243" s="498"/>
      <c r="J243" s="499"/>
      <c r="K243" s="494"/>
      <c r="L243" s="498"/>
      <c r="M243" s="499"/>
    </row>
    <row r="244" spans="2:13" s="120" customFormat="1" ht="38.25">
      <c r="B244" s="621" t="s">
        <v>840</v>
      </c>
      <c r="C244" s="621" t="s">
        <v>754</v>
      </c>
      <c r="D244" s="639" t="s">
        <v>733</v>
      </c>
      <c r="E244" s="639">
        <v>5</v>
      </c>
      <c r="F244" s="640">
        <v>150</v>
      </c>
      <c r="G244" s="641">
        <f t="shared" si="14"/>
        <v>750</v>
      </c>
      <c r="H244" s="497"/>
      <c r="I244" s="498"/>
      <c r="J244" s="499"/>
      <c r="K244" s="494"/>
      <c r="L244" s="498"/>
      <c r="M244" s="499"/>
    </row>
    <row r="245" spans="2:13" s="120" customFormat="1" ht="38.25">
      <c r="B245" s="621" t="s">
        <v>841</v>
      </c>
      <c r="C245" s="621" t="s">
        <v>755</v>
      </c>
      <c r="D245" s="639" t="s">
        <v>733</v>
      </c>
      <c r="E245" s="639">
        <v>8</v>
      </c>
      <c r="F245" s="640">
        <v>580</v>
      </c>
      <c r="G245" s="641">
        <f t="shared" si="14"/>
        <v>4640</v>
      </c>
      <c r="H245" s="497"/>
      <c r="I245" s="498"/>
      <c r="J245" s="499"/>
      <c r="K245" s="494"/>
      <c r="L245" s="498"/>
      <c r="M245" s="499"/>
    </row>
    <row r="246" spans="2:13" s="120" customFormat="1" ht="38.25">
      <c r="B246" s="621" t="s">
        <v>842</v>
      </c>
      <c r="C246" s="621" t="s">
        <v>756</v>
      </c>
      <c r="D246" s="639" t="s">
        <v>733</v>
      </c>
      <c r="E246" s="639">
        <v>1.8</v>
      </c>
      <c r="F246" s="640">
        <v>850</v>
      </c>
      <c r="G246" s="641">
        <f t="shared" si="14"/>
        <v>1530</v>
      </c>
      <c r="H246" s="497"/>
      <c r="I246" s="498"/>
      <c r="J246" s="499"/>
      <c r="K246" s="494"/>
      <c r="L246" s="498"/>
      <c r="M246" s="499"/>
    </row>
    <row r="247" spans="2:13" s="120" customFormat="1">
      <c r="B247" s="621" t="s">
        <v>843</v>
      </c>
      <c r="C247" s="621" t="s">
        <v>757</v>
      </c>
      <c r="D247" s="639" t="s">
        <v>469</v>
      </c>
      <c r="E247" s="639">
        <v>10</v>
      </c>
      <c r="F247" s="640">
        <v>50</v>
      </c>
      <c r="G247" s="641">
        <f t="shared" si="14"/>
        <v>500</v>
      </c>
      <c r="H247" s="497"/>
      <c r="I247" s="498"/>
      <c r="J247" s="499"/>
      <c r="K247" s="494"/>
      <c r="L247" s="498"/>
      <c r="M247" s="499"/>
    </row>
    <row r="248" spans="2:13" s="120" customFormat="1">
      <c r="B248" s="621" t="s">
        <v>844</v>
      </c>
      <c r="C248" s="621" t="s">
        <v>758</v>
      </c>
      <c r="D248" s="639" t="s">
        <v>469</v>
      </c>
      <c r="E248" s="639">
        <v>6</v>
      </c>
      <c r="F248" s="640">
        <v>30</v>
      </c>
      <c r="G248" s="641">
        <f t="shared" si="14"/>
        <v>180</v>
      </c>
      <c r="H248" s="497"/>
      <c r="I248" s="498"/>
      <c r="J248" s="499"/>
      <c r="K248" s="494"/>
      <c r="L248" s="498"/>
      <c r="M248" s="499"/>
    </row>
    <row r="249" spans="2:13" s="120" customFormat="1" ht="38.25">
      <c r="B249" s="621" t="s">
        <v>845</v>
      </c>
      <c r="C249" s="621" t="s">
        <v>759</v>
      </c>
      <c r="D249" s="639" t="s">
        <v>469</v>
      </c>
      <c r="E249" s="639">
        <v>2</v>
      </c>
      <c r="F249" s="640">
        <v>750</v>
      </c>
      <c r="G249" s="641">
        <f t="shared" si="14"/>
        <v>1500</v>
      </c>
      <c r="H249" s="497"/>
      <c r="I249" s="498"/>
      <c r="J249" s="499"/>
      <c r="K249" s="494"/>
      <c r="L249" s="498"/>
      <c r="M249" s="499"/>
    </row>
    <row r="250" spans="2:13" s="120" customFormat="1" ht="38.25">
      <c r="B250" s="621" t="s">
        <v>846</v>
      </c>
      <c r="C250" s="621" t="s">
        <v>760</v>
      </c>
      <c r="D250" s="639" t="s">
        <v>733</v>
      </c>
      <c r="E250" s="639">
        <v>0.5</v>
      </c>
      <c r="F250" s="640">
        <v>900</v>
      </c>
      <c r="G250" s="641">
        <f t="shared" si="14"/>
        <v>450</v>
      </c>
      <c r="H250" s="497"/>
      <c r="I250" s="498"/>
      <c r="J250" s="499"/>
      <c r="K250" s="494"/>
      <c r="L250" s="498"/>
      <c r="M250" s="499"/>
    </row>
    <row r="251" spans="2:13" s="120" customFormat="1" ht="38.25">
      <c r="B251" s="621" t="s">
        <v>847</v>
      </c>
      <c r="C251" s="621" t="s">
        <v>761</v>
      </c>
      <c r="D251" s="639" t="s">
        <v>733</v>
      </c>
      <c r="E251" s="639">
        <v>1.5</v>
      </c>
      <c r="F251" s="640">
        <v>1700</v>
      </c>
      <c r="G251" s="641">
        <f t="shared" si="14"/>
        <v>2550</v>
      </c>
      <c r="H251" s="497"/>
      <c r="I251" s="498"/>
      <c r="J251" s="499"/>
      <c r="K251" s="494"/>
      <c r="L251" s="498"/>
      <c r="M251" s="499"/>
    </row>
    <row r="252" spans="2:13" s="120" customFormat="1" ht="25.5">
      <c r="B252" s="621" t="s">
        <v>848</v>
      </c>
      <c r="C252" s="621" t="s">
        <v>762</v>
      </c>
      <c r="D252" s="639" t="s">
        <v>469</v>
      </c>
      <c r="E252" s="639">
        <v>160</v>
      </c>
      <c r="F252" s="640">
        <v>60</v>
      </c>
      <c r="G252" s="641">
        <f t="shared" si="14"/>
        <v>9600</v>
      </c>
      <c r="H252" s="497"/>
      <c r="I252" s="498"/>
      <c r="J252" s="499"/>
      <c r="K252" s="494"/>
      <c r="L252" s="498"/>
      <c r="M252" s="499"/>
    </row>
    <row r="253" spans="2:13" s="120" customFormat="1" ht="26.25" thickBot="1">
      <c r="B253" s="662" t="s">
        <v>849</v>
      </c>
      <c r="C253" s="662" t="s">
        <v>763</v>
      </c>
      <c r="D253" s="663" t="s">
        <v>469</v>
      </c>
      <c r="E253" s="663">
        <v>200</v>
      </c>
      <c r="F253" s="664">
        <v>20</v>
      </c>
      <c r="G253" s="665">
        <f t="shared" si="14"/>
        <v>4000</v>
      </c>
      <c r="H253" s="678"/>
      <c r="I253" s="679"/>
      <c r="J253" s="680"/>
      <c r="K253" s="681"/>
      <c r="L253" s="679"/>
      <c r="M253" s="680"/>
    </row>
    <row r="254" spans="2:13" s="120" customFormat="1" ht="26.25" thickBot="1">
      <c r="B254" s="653" t="s">
        <v>850</v>
      </c>
      <c r="C254" s="654" t="s">
        <v>670</v>
      </c>
      <c r="D254" s="655" t="s">
        <v>25</v>
      </c>
      <c r="E254" s="655" t="s">
        <v>25</v>
      </c>
      <c r="F254" s="656" t="s">
        <v>25</v>
      </c>
      <c r="G254" s="657">
        <f>SUM(G255:G255)</f>
        <v>0</v>
      </c>
      <c r="H254" s="690"/>
      <c r="I254" s="691"/>
      <c r="J254" s="692"/>
      <c r="K254" s="693"/>
      <c r="L254" s="691"/>
      <c r="M254" s="694"/>
    </row>
    <row r="255" spans="2:13" s="120" customFormat="1">
      <c r="B255" s="682"/>
      <c r="C255" s="683"/>
      <c r="D255" s="684"/>
      <c r="E255" s="684"/>
      <c r="F255" s="685"/>
      <c r="G255" s="686"/>
      <c r="H255" s="687"/>
      <c r="I255" s="688"/>
      <c r="J255" s="689"/>
      <c r="K255" s="684"/>
      <c r="L255" s="688"/>
      <c r="M255" s="689"/>
    </row>
    <row r="256" spans="2:13">
      <c r="B256" s="500"/>
      <c r="C256" s="490" t="s">
        <v>254</v>
      </c>
      <c r="D256" s="491" t="s">
        <v>25</v>
      </c>
      <c r="E256" s="491" t="s">
        <v>25</v>
      </c>
      <c r="F256" s="501" t="s">
        <v>25</v>
      </c>
      <c r="G256" s="502">
        <f>G164</f>
        <v>44468.99</v>
      </c>
      <c r="H256" s="501" t="s">
        <v>25</v>
      </c>
      <c r="I256" s="491" t="s">
        <v>25</v>
      </c>
      <c r="J256" s="503">
        <f>J164</f>
        <v>477131.95</v>
      </c>
      <c r="K256" s="491" t="s">
        <v>25</v>
      </c>
      <c r="L256" s="491" t="s">
        <v>25</v>
      </c>
      <c r="M256" s="503">
        <f>M164</f>
        <v>341416.55</v>
      </c>
    </row>
    <row r="258" spans="2:13">
      <c r="B258" s="110" t="s">
        <v>235</v>
      </c>
      <c r="C258" s="461"/>
      <c r="D258" s="461"/>
      <c r="E258" s="461"/>
      <c r="F258" s="461"/>
      <c r="G258" s="461"/>
      <c r="H258" s="461"/>
      <c r="I258" s="461"/>
      <c r="J258" s="461"/>
      <c r="K258" s="461"/>
      <c r="L258" s="461"/>
      <c r="M258" s="461"/>
    </row>
    <row r="259" spans="2:13">
      <c r="B259" s="29" t="s">
        <v>236</v>
      </c>
      <c r="C259" s="319"/>
      <c r="D259" s="319"/>
      <c r="E259" s="319"/>
      <c r="F259" s="319"/>
      <c r="G259" s="319"/>
      <c r="H259" s="319"/>
      <c r="I259" s="319"/>
      <c r="J259" s="319"/>
      <c r="K259" s="319"/>
      <c r="L259" s="319"/>
      <c r="M259" s="319"/>
    </row>
    <row r="260" spans="2:13">
      <c r="B260" s="29" t="s">
        <v>237</v>
      </c>
      <c r="C260" s="319"/>
      <c r="D260" s="319"/>
      <c r="E260" s="319"/>
      <c r="F260" s="319"/>
      <c r="G260" s="319"/>
      <c r="H260" s="319"/>
      <c r="I260" s="319"/>
      <c r="J260" s="319"/>
      <c r="K260" s="319"/>
      <c r="L260" s="319"/>
      <c r="M260" s="319"/>
    </row>
    <row r="261" spans="2:13">
      <c r="B261" s="116" t="s">
        <v>447</v>
      </c>
      <c r="C261" s="319"/>
      <c r="D261" s="319"/>
      <c r="E261" s="319"/>
      <c r="F261" s="319"/>
      <c r="G261" s="319"/>
      <c r="H261" s="319"/>
      <c r="I261" s="319"/>
      <c r="J261" s="319"/>
      <c r="K261" s="319"/>
      <c r="L261" s="319"/>
      <c r="M261" s="319"/>
    </row>
    <row r="262" spans="2:13">
      <c r="B262" s="1046" t="s">
        <v>176</v>
      </c>
      <c r="C262" s="1099" t="s">
        <v>244</v>
      </c>
      <c r="D262" s="1099" t="s">
        <v>440</v>
      </c>
      <c r="E262" s="1100" t="s">
        <v>559</v>
      </c>
      <c r="F262" s="1101"/>
      <c r="G262" s="1102"/>
      <c r="H262" s="1100" t="s">
        <v>560</v>
      </c>
      <c r="I262" s="1101"/>
      <c r="J262" s="1102"/>
      <c r="K262" s="1100" t="s">
        <v>561</v>
      </c>
      <c r="L262" s="1101"/>
      <c r="M262" s="1102"/>
    </row>
    <row r="263" spans="2:13">
      <c r="B263" s="1046"/>
      <c r="C263" s="1099"/>
      <c r="D263" s="1099"/>
      <c r="E263" s="1099" t="s">
        <v>419</v>
      </c>
      <c r="F263" s="1099" t="s">
        <v>307</v>
      </c>
      <c r="G263" s="1099" t="s">
        <v>247</v>
      </c>
      <c r="H263" s="1099" t="s">
        <v>419</v>
      </c>
      <c r="I263" s="465" t="s">
        <v>366</v>
      </c>
      <c r="J263" s="1099" t="s">
        <v>247</v>
      </c>
      <c r="K263" s="1099" t="s">
        <v>419</v>
      </c>
      <c r="L263" s="465" t="s">
        <v>366</v>
      </c>
      <c r="M263" s="1099" t="s">
        <v>247</v>
      </c>
    </row>
    <row r="264" spans="2:13">
      <c r="B264" s="1046"/>
      <c r="C264" s="1099"/>
      <c r="D264" s="1099"/>
      <c r="E264" s="1099"/>
      <c r="F264" s="1099"/>
      <c r="G264" s="1099"/>
      <c r="H264" s="1099"/>
      <c r="I264" s="465" t="s">
        <v>434</v>
      </c>
      <c r="J264" s="1099"/>
      <c r="K264" s="1099"/>
      <c r="L264" s="465" t="s">
        <v>434</v>
      </c>
      <c r="M264" s="1099"/>
    </row>
    <row r="265" spans="2:13" ht="38.25">
      <c r="B265" s="313">
        <v>1</v>
      </c>
      <c r="C265" s="467" t="s">
        <v>638</v>
      </c>
      <c r="D265" s="494" t="s">
        <v>25</v>
      </c>
      <c r="E265" s="494" t="s">
        <v>25</v>
      </c>
      <c r="F265" s="495" t="s">
        <v>25</v>
      </c>
      <c r="G265" s="496">
        <v>26310.14</v>
      </c>
      <c r="H265" s="497" t="s">
        <v>25</v>
      </c>
      <c r="I265" s="498" t="s">
        <v>25</v>
      </c>
      <c r="J265" s="499">
        <v>30893.68</v>
      </c>
      <c r="K265" s="494" t="s">
        <v>25</v>
      </c>
      <c r="L265" s="498" t="s">
        <v>25</v>
      </c>
      <c r="M265" s="499">
        <v>30616.73</v>
      </c>
    </row>
    <row r="266" spans="2:13" s="120" customFormat="1" ht="38.25">
      <c r="B266" s="459">
        <v>2</v>
      </c>
      <c r="C266" s="467" t="s">
        <v>637</v>
      </c>
      <c r="D266" s="494" t="s">
        <v>25</v>
      </c>
      <c r="E266" s="494" t="s">
        <v>25</v>
      </c>
      <c r="F266" s="495" t="s">
        <v>25</v>
      </c>
      <c r="G266" s="496">
        <v>187438.31</v>
      </c>
      <c r="H266" s="497" t="s">
        <v>25</v>
      </c>
      <c r="I266" s="498" t="s">
        <v>25</v>
      </c>
      <c r="J266" s="499">
        <v>87438.32</v>
      </c>
      <c r="K266" s="494" t="s">
        <v>25</v>
      </c>
      <c r="L266" s="498" t="s">
        <v>25</v>
      </c>
      <c r="M266" s="499">
        <v>87438.31</v>
      </c>
    </row>
    <row r="267" spans="2:13">
      <c r="B267" s="138"/>
      <c r="C267" s="490" t="s">
        <v>254</v>
      </c>
      <c r="D267" s="491" t="s">
        <v>25</v>
      </c>
      <c r="E267" s="491" t="s">
        <v>25</v>
      </c>
      <c r="F267" s="501" t="s">
        <v>25</v>
      </c>
      <c r="G267" s="502">
        <f>SUM(G265:G266)</f>
        <v>213748.45</v>
      </c>
      <c r="H267" s="501" t="s">
        <v>25</v>
      </c>
      <c r="I267" s="491" t="s">
        <v>25</v>
      </c>
      <c r="J267" s="503">
        <f>SUM(J265:J266)</f>
        <v>118332</v>
      </c>
      <c r="K267" s="491" t="s">
        <v>25</v>
      </c>
      <c r="L267" s="491" t="s">
        <v>25</v>
      </c>
      <c r="M267" s="503">
        <f>SUM(M265:M266)</f>
        <v>118055.03999999999</v>
      </c>
    </row>
    <row r="268" spans="2:13" s="120" customFormat="1">
      <c r="B268" s="504"/>
      <c r="C268" s="505"/>
      <c r="D268" s="506"/>
      <c r="E268" s="506"/>
      <c r="F268" s="507"/>
      <c r="G268" s="508"/>
      <c r="H268" s="507"/>
      <c r="I268" s="506"/>
      <c r="J268" s="509"/>
      <c r="K268" s="506"/>
      <c r="L268" s="506"/>
      <c r="M268" s="509"/>
    </row>
    <row r="269" spans="2:13" s="120" customFormat="1">
      <c r="B269" s="504"/>
      <c r="C269" s="505"/>
      <c r="D269" s="506"/>
      <c r="E269" s="506"/>
      <c r="F269" s="507"/>
      <c r="G269" s="508"/>
      <c r="H269" s="507"/>
      <c r="I269" s="506"/>
      <c r="J269" s="509"/>
      <c r="K269" s="506"/>
      <c r="L269" s="506"/>
      <c r="M269" s="509"/>
    </row>
    <row r="270" spans="2:13" s="120" customFormat="1">
      <c r="B270" s="461" t="s">
        <v>646</v>
      </c>
      <c r="C270" s="461"/>
      <c r="D270" s="461"/>
      <c r="E270" s="461"/>
      <c r="F270" s="461"/>
      <c r="G270" s="461"/>
      <c r="H270" s="461"/>
      <c r="I270" s="461"/>
      <c r="J270" s="461"/>
      <c r="K270" s="461"/>
      <c r="L270" s="461"/>
      <c r="M270" s="461"/>
    </row>
    <row r="271" spans="2:13" s="120" customFormat="1">
      <c r="B271" s="319" t="s">
        <v>241</v>
      </c>
      <c r="C271" s="319"/>
      <c r="D271" s="319"/>
      <c r="E271" s="319"/>
      <c r="F271" s="319"/>
      <c r="G271" s="319"/>
      <c r="H271" s="319"/>
      <c r="I271" s="319"/>
      <c r="J271" s="319"/>
      <c r="K271" s="319"/>
      <c r="L271" s="319"/>
      <c r="M271" s="319"/>
    </row>
    <row r="272" spans="2:13" s="120" customFormat="1">
      <c r="B272" s="319" t="s">
        <v>242</v>
      </c>
      <c r="C272" s="319"/>
      <c r="D272" s="319"/>
      <c r="E272" s="319"/>
      <c r="F272" s="319"/>
      <c r="G272" s="319"/>
      <c r="H272" s="319"/>
      <c r="I272" s="319"/>
      <c r="J272" s="319"/>
      <c r="K272" s="319"/>
      <c r="L272" s="319"/>
      <c r="M272" s="319"/>
    </row>
    <row r="273" spans="2:17" s="120" customFormat="1">
      <c r="B273" s="472" t="s">
        <v>447</v>
      </c>
      <c r="C273" s="319"/>
      <c r="D273" s="319"/>
      <c r="E273" s="319"/>
      <c r="F273" s="319"/>
      <c r="G273" s="319"/>
      <c r="H273" s="319"/>
      <c r="I273" s="319"/>
      <c r="J273" s="319"/>
      <c r="K273" s="319"/>
      <c r="L273" s="319"/>
      <c r="M273" s="319"/>
    </row>
    <row r="274" spans="2:17" s="120" customFormat="1">
      <c r="B274" s="1099" t="s">
        <v>176</v>
      </c>
      <c r="C274" s="1099" t="s">
        <v>244</v>
      </c>
      <c r="D274" s="1099" t="s">
        <v>440</v>
      </c>
      <c r="E274" s="1100" t="s">
        <v>559</v>
      </c>
      <c r="F274" s="1101"/>
      <c r="G274" s="1102"/>
      <c r="H274" s="1100" t="s">
        <v>560</v>
      </c>
      <c r="I274" s="1101"/>
      <c r="J274" s="1102"/>
      <c r="K274" s="1100" t="s">
        <v>561</v>
      </c>
      <c r="L274" s="1101"/>
      <c r="M274" s="1102"/>
    </row>
    <row r="275" spans="2:17" s="120" customFormat="1">
      <c r="B275" s="1099"/>
      <c r="C275" s="1099"/>
      <c r="D275" s="1099"/>
      <c r="E275" s="1099" t="s">
        <v>419</v>
      </c>
      <c r="F275" s="1099" t="s">
        <v>307</v>
      </c>
      <c r="G275" s="1099" t="s">
        <v>247</v>
      </c>
      <c r="H275" s="1099" t="s">
        <v>419</v>
      </c>
      <c r="I275" s="465" t="s">
        <v>366</v>
      </c>
      <c r="J275" s="1099" t="s">
        <v>247</v>
      </c>
      <c r="K275" s="1099" t="s">
        <v>419</v>
      </c>
      <c r="L275" s="465" t="s">
        <v>366</v>
      </c>
      <c r="M275" s="1099" t="s">
        <v>247</v>
      </c>
    </row>
    <row r="276" spans="2:17" s="120" customFormat="1">
      <c r="B276" s="1099"/>
      <c r="C276" s="1099"/>
      <c r="D276" s="1099"/>
      <c r="E276" s="1099"/>
      <c r="F276" s="1099"/>
      <c r="G276" s="1099"/>
      <c r="H276" s="1099"/>
      <c r="I276" s="465" t="s">
        <v>434</v>
      </c>
      <c r="J276" s="1099"/>
      <c r="K276" s="1099"/>
      <c r="L276" s="465" t="s">
        <v>434</v>
      </c>
      <c r="M276" s="1099"/>
    </row>
    <row r="277" spans="2:17" s="120" customFormat="1" ht="38.25">
      <c r="B277" s="465">
        <v>1</v>
      </c>
      <c r="C277" s="467" t="s">
        <v>638</v>
      </c>
      <c r="D277" s="494" t="s">
        <v>25</v>
      </c>
      <c r="E277" s="494" t="s">
        <v>25</v>
      </c>
      <c r="F277" s="495" t="s">
        <v>25</v>
      </c>
      <c r="G277" s="496">
        <v>6171.52</v>
      </c>
      <c r="H277" s="497" t="s">
        <v>25</v>
      </c>
      <c r="I277" s="498" t="s">
        <v>25</v>
      </c>
      <c r="J277" s="499">
        <v>7246.66</v>
      </c>
      <c r="K277" s="494" t="s">
        <v>25</v>
      </c>
      <c r="L277" s="498" t="s">
        <v>25</v>
      </c>
      <c r="M277" s="499">
        <v>7181.72</v>
      </c>
    </row>
    <row r="278" spans="2:17" s="120" customFormat="1" ht="38.25">
      <c r="B278" s="465">
        <v>2</v>
      </c>
      <c r="C278" s="467" t="s">
        <v>637</v>
      </c>
      <c r="D278" s="494" t="s">
        <v>25</v>
      </c>
      <c r="E278" s="494" t="s">
        <v>25</v>
      </c>
      <c r="F278" s="495" t="s">
        <v>25</v>
      </c>
      <c r="G278" s="496">
        <v>537923.11</v>
      </c>
      <c r="H278" s="497" t="s">
        <v>25</v>
      </c>
      <c r="I278" s="498" t="s">
        <v>25</v>
      </c>
      <c r="J278" s="499">
        <v>491020.43</v>
      </c>
      <c r="K278" s="494" t="s">
        <v>25</v>
      </c>
      <c r="L278" s="498" t="s">
        <v>25</v>
      </c>
      <c r="M278" s="499">
        <v>491020.43</v>
      </c>
    </row>
    <row r="279" spans="2:17" s="120" customFormat="1">
      <c r="B279" s="500"/>
      <c r="C279" s="490" t="s">
        <v>254</v>
      </c>
      <c r="D279" s="491" t="s">
        <v>25</v>
      </c>
      <c r="E279" s="491" t="s">
        <v>25</v>
      </c>
      <c r="F279" s="501" t="s">
        <v>25</v>
      </c>
      <c r="G279" s="502">
        <f>SUM(G277:G278)</f>
        <v>544094.63</v>
      </c>
      <c r="H279" s="501" t="s">
        <v>25</v>
      </c>
      <c r="I279" s="491" t="s">
        <v>25</v>
      </c>
      <c r="J279" s="503">
        <f>SUM(J277:J278)</f>
        <v>498267.09</v>
      </c>
      <c r="K279" s="491" t="s">
        <v>25</v>
      </c>
      <c r="L279" s="491" t="s">
        <v>25</v>
      </c>
      <c r="M279" s="503">
        <f>SUM(M277:M278)</f>
        <v>498202.15</v>
      </c>
    </row>
    <row r="280" spans="2:17" s="120" customFormat="1">
      <c r="B280" s="504"/>
      <c r="C280" s="505"/>
      <c r="D280" s="506"/>
      <c r="E280" s="506"/>
      <c r="F280" s="507"/>
      <c r="G280" s="508"/>
      <c r="H280" s="507"/>
      <c r="I280" s="506"/>
      <c r="J280" s="509"/>
      <c r="K280" s="506"/>
      <c r="L280" s="506"/>
      <c r="M280" s="509"/>
    </row>
    <row r="281" spans="2:17">
      <c r="C281" s="131"/>
      <c r="D281" s="30"/>
      <c r="E281" s="30"/>
      <c r="F281" s="30"/>
      <c r="G281" s="132"/>
      <c r="H281" s="30"/>
      <c r="I281" s="30"/>
      <c r="J281" s="141"/>
      <c r="K281" s="30"/>
      <c r="L281" s="30"/>
      <c r="M281" s="141"/>
      <c r="Q281" s="29" t="s">
        <v>448</v>
      </c>
    </row>
    <row r="282" spans="2:17" s="85" customFormat="1">
      <c r="B282" s="85" t="s">
        <v>243</v>
      </c>
      <c r="N282" s="29"/>
      <c r="O282" s="29"/>
    </row>
    <row r="283" spans="2:17">
      <c r="B283" s="29" t="s">
        <v>239</v>
      </c>
    </row>
    <row r="284" spans="2:17">
      <c r="B284" s="29" t="s">
        <v>279</v>
      </c>
    </row>
    <row r="285" spans="2:17">
      <c r="B285" s="116" t="s">
        <v>449</v>
      </c>
    </row>
    <row r="286" spans="2:17">
      <c r="B286" s="1046" t="s">
        <v>176</v>
      </c>
      <c r="C286" s="1046" t="s">
        <v>244</v>
      </c>
      <c r="D286" s="1046" t="s">
        <v>440</v>
      </c>
      <c r="E286" s="1046" t="s">
        <v>213</v>
      </c>
      <c r="F286" s="1046"/>
      <c r="G286" s="1046"/>
      <c r="H286" s="1046" t="s">
        <v>214</v>
      </c>
      <c r="I286" s="1046"/>
      <c r="J286" s="1046"/>
      <c r="K286" s="1046" t="s">
        <v>215</v>
      </c>
      <c r="L286" s="1046"/>
      <c r="M286" s="1046"/>
    </row>
    <row r="287" spans="2:17">
      <c r="B287" s="1046"/>
      <c r="C287" s="1046"/>
      <c r="D287" s="1046"/>
      <c r="E287" s="1046" t="s">
        <v>419</v>
      </c>
      <c r="F287" s="1046" t="s">
        <v>307</v>
      </c>
      <c r="G287" s="1046" t="s">
        <v>247</v>
      </c>
      <c r="H287" s="1046" t="s">
        <v>419</v>
      </c>
      <c r="I287" s="57" t="s">
        <v>366</v>
      </c>
      <c r="J287" s="1046" t="s">
        <v>247</v>
      </c>
      <c r="K287" s="1046" t="s">
        <v>419</v>
      </c>
      <c r="L287" s="57" t="s">
        <v>366</v>
      </c>
      <c r="M287" s="1046" t="s">
        <v>247</v>
      </c>
    </row>
    <row r="288" spans="2:17" s="114" customFormat="1">
      <c r="B288" s="1046"/>
      <c r="C288" s="1046"/>
      <c r="D288" s="1046"/>
      <c r="E288" s="1046"/>
      <c r="F288" s="1046"/>
      <c r="G288" s="1046"/>
      <c r="H288" s="1046"/>
      <c r="I288" s="57" t="s">
        <v>434</v>
      </c>
      <c r="J288" s="1046"/>
      <c r="K288" s="1046"/>
      <c r="L288" s="57" t="s">
        <v>434</v>
      </c>
      <c r="M288" s="1046"/>
      <c r="N288" s="29"/>
      <c r="O288" s="29"/>
    </row>
    <row r="289" spans="2:17" ht="25.5">
      <c r="B289" s="57">
        <v>1</v>
      </c>
      <c r="C289" s="57" t="s">
        <v>450</v>
      </c>
      <c r="D289" s="37" t="s">
        <v>451</v>
      </c>
      <c r="E289" s="37">
        <v>0</v>
      </c>
      <c r="F289" s="142" t="e">
        <f t="shared" si="11"/>
        <v>#DIV/0!</v>
      </c>
      <c r="G289" s="142">
        <v>0</v>
      </c>
      <c r="H289" s="118">
        <v>0</v>
      </c>
      <c r="I289" s="118">
        <v>0</v>
      </c>
      <c r="J289" s="118">
        <v>0</v>
      </c>
      <c r="K289" s="118">
        <v>0</v>
      </c>
      <c r="L289" s="118">
        <v>0</v>
      </c>
      <c r="M289" s="118">
        <v>0</v>
      </c>
    </row>
    <row r="290" spans="2:17">
      <c r="B290" s="138"/>
      <c r="C290" s="128" t="s">
        <v>254</v>
      </c>
      <c r="D290" s="37" t="s">
        <v>25</v>
      </c>
      <c r="E290" s="37" t="s">
        <v>25</v>
      </c>
      <c r="F290" s="37" t="s">
        <v>25</v>
      </c>
      <c r="G290" s="139">
        <f>G289</f>
        <v>0</v>
      </c>
      <c r="H290" s="37" t="s">
        <v>25</v>
      </c>
      <c r="I290" s="37" t="s">
        <v>25</v>
      </c>
      <c r="J290" s="140">
        <f>J289</f>
        <v>0</v>
      </c>
      <c r="K290" s="37" t="s">
        <v>25</v>
      </c>
      <c r="L290" s="37" t="s">
        <v>25</v>
      </c>
      <c r="M290" s="140">
        <f>M289</f>
        <v>0</v>
      </c>
    </row>
    <row r="291" spans="2:17">
      <c r="C291" s="131"/>
      <c r="D291" s="30"/>
      <c r="E291" s="30"/>
      <c r="F291" s="30"/>
      <c r="G291" s="132"/>
      <c r="H291" s="30"/>
      <c r="I291" s="30"/>
      <c r="J291" s="141"/>
      <c r="K291" s="30"/>
      <c r="L291" s="30"/>
      <c r="M291" s="141"/>
      <c r="Q291" t="s">
        <v>452</v>
      </c>
    </row>
    <row r="292" spans="2:17">
      <c r="B292" s="85" t="s">
        <v>243</v>
      </c>
      <c r="C292" s="85"/>
      <c r="D292" s="85"/>
      <c r="E292" s="85"/>
      <c r="F292" s="85"/>
      <c r="G292" s="85"/>
      <c r="H292" s="85"/>
      <c r="I292" s="85"/>
      <c r="J292" s="85"/>
      <c r="K292" s="85"/>
      <c r="L292" s="85"/>
      <c r="M292" s="85"/>
    </row>
    <row r="293" spans="2:17">
      <c r="B293" s="29" t="s">
        <v>239</v>
      </c>
    </row>
    <row r="294" spans="2:17">
      <c r="B294" s="29" t="s">
        <v>453</v>
      </c>
    </row>
    <row r="295" spans="2:17">
      <c r="B295" s="116" t="s">
        <v>449</v>
      </c>
    </row>
    <row r="296" spans="2:17">
      <c r="B296" s="1046" t="s">
        <v>176</v>
      </c>
      <c r="C296" s="1046" t="s">
        <v>244</v>
      </c>
      <c r="D296" s="1046" t="s">
        <v>418</v>
      </c>
      <c r="E296" s="1046" t="s">
        <v>213</v>
      </c>
      <c r="F296" s="1046"/>
      <c r="G296" s="1046"/>
      <c r="H296" s="1046" t="s">
        <v>214</v>
      </c>
      <c r="I296" s="1046"/>
      <c r="J296" s="1046"/>
      <c r="K296" s="1046" t="s">
        <v>215</v>
      </c>
      <c r="L296" s="1046"/>
      <c r="M296" s="1046"/>
    </row>
    <row r="297" spans="2:17">
      <c r="B297" s="1046"/>
      <c r="C297" s="1046"/>
      <c r="D297" s="1046"/>
      <c r="E297" s="1046" t="s">
        <v>419</v>
      </c>
      <c r="F297" s="1046" t="s">
        <v>307</v>
      </c>
      <c r="G297" s="1046" t="s">
        <v>247</v>
      </c>
      <c r="H297" s="1046" t="s">
        <v>419</v>
      </c>
      <c r="I297" s="57" t="s">
        <v>366</v>
      </c>
      <c r="J297" s="1046" t="s">
        <v>247</v>
      </c>
      <c r="K297" s="1046" t="s">
        <v>419</v>
      </c>
      <c r="L297" s="57" t="s">
        <v>366</v>
      </c>
      <c r="M297" s="1046" t="s">
        <v>247</v>
      </c>
    </row>
    <row r="298" spans="2:17">
      <c r="B298" s="1046"/>
      <c r="C298" s="1046"/>
      <c r="D298" s="1046"/>
      <c r="E298" s="1046"/>
      <c r="F298" s="1046"/>
      <c r="G298" s="1046"/>
      <c r="H298" s="1046"/>
      <c r="I298" s="57" t="s">
        <v>434</v>
      </c>
      <c r="J298" s="1046"/>
      <c r="K298" s="1046"/>
      <c r="L298" s="57" t="s">
        <v>434</v>
      </c>
      <c r="M298" s="1046"/>
    </row>
    <row r="299" spans="2:17" ht="51">
      <c r="B299" s="57">
        <v>1</v>
      </c>
      <c r="C299" s="81" t="s">
        <v>454</v>
      </c>
      <c r="D299" s="37" t="s">
        <v>451</v>
      </c>
      <c r="E299" s="134">
        <v>0</v>
      </c>
      <c r="F299" s="100">
        <v>0</v>
      </c>
      <c r="G299" s="100">
        <f t="shared" ref="G299:G300" si="15">E299*F299</f>
        <v>0</v>
      </c>
      <c r="H299" s="135">
        <v>0</v>
      </c>
      <c r="I299" s="135">
        <v>0</v>
      </c>
      <c r="J299" s="135">
        <v>0</v>
      </c>
      <c r="K299" s="135">
        <v>0</v>
      </c>
      <c r="L299" s="135">
        <v>0</v>
      </c>
      <c r="M299" s="135">
        <v>0</v>
      </c>
    </row>
    <row r="300" spans="2:17" ht="51">
      <c r="B300" s="57">
        <v>2</v>
      </c>
      <c r="C300" s="81" t="s">
        <v>455</v>
      </c>
      <c r="D300" s="37" t="s">
        <v>456</v>
      </c>
      <c r="E300" s="134">
        <v>0</v>
      </c>
      <c r="F300" s="100">
        <v>0</v>
      </c>
      <c r="G300" s="100">
        <f t="shared" si="15"/>
        <v>0</v>
      </c>
      <c r="H300" s="135">
        <v>0</v>
      </c>
      <c r="I300" s="135">
        <v>0</v>
      </c>
      <c r="J300" s="135">
        <v>0</v>
      </c>
      <c r="K300" s="135">
        <v>0</v>
      </c>
      <c r="L300" s="135">
        <v>0</v>
      </c>
      <c r="M300" s="135">
        <v>0</v>
      </c>
    </row>
    <row r="301" spans="2:17">
      <c r="B301" s="117"/>
      <c r="C301" s="128" t="s">
        <v>254</v>
      </c>
      <c r="D301" s="37" t="s">
        <v>25</v>
      </c>
      <c r="E301" s="37" t="s">
        <v>25</v>
      </c>
      <c r="F301" s="37" t="s">
        <v>25</v>
      </c>
      <c r="G301" s="100">
        <f>G299+G300</f>
        <v>0</v>
      </c>
      <c r="H301" s="37" t="s">
        <v>25</v>
      </c>
      <c r="I301" s="37" t="s">
        <v>25</v>
      </c>
      <c r="J301" s="100">
        <f>J299+J300</f>
        <v>0</v>
      </c>
      <c r="K301" s="37" t="s">
        <v>25</v>
      </c>
      <c r="L301" s="37" t="s">
        <v>25</v>
      </c>
      <c r="M301" s="100">
        <f>M299+M300</f>
        <v>0</v>
      </c>
    </row>
    <row r="302" spans="2:17">
      <c r="B302" s="116"/>
      <c r="C302" s="131"/>
      <c r="D302" s="30"/>
      <c r="E302" s="143"/>
      <c r="F302" s="130"/>
      <c r="G302" s="130"/>
      <c r="H302" s="144"/>
      <c r="I302" s="144"/>
      <c r="J302" s="144"/>
      <c r="K302" s="144"/>
      <c r="L302" s="144"/>
      <c r="M302" s="144"/>
    </row>
    <row r="303" spans="2:17">
      <c r="B303" s="110" t="s">
        <v>235</v>
      </c>
      <c r="C303" s="110"/>
      <c r="D303" s="110"/>
      <c r="E303" s="110"/>
      <c r="F303" s="110"/>
      <c r="G303" s="110"/>
      <c r="H303" s="110"/>
      <c r="I303" s="110"/>
      <c r="J303" s="110"/>
      <c r="K303" s="110"/>
      <c r="L303" s="110"/>
      <c r="M303" s="110"/>
    </row>
    <row r="304" spans="2:17">
      <c r="B304" s="116" t="s">
        <v>236</v>
      </c>
    </row>
    <row r="305" spans="2:17">
      <c r="B305" s="116" t="s">
        <v>237</v>
      </c>
    </row>
    <row r="306" spans="2:17">
      <c r="B306" s="116" t="s">
        <v>457</v>
      </c>
    </row>
    <row r="307" spans="2:17">
      <c r="B307" s="1046" t="s">
        <v>176</v>
      </c>
      <c r="C307" s="1046" t="s">
        <v>244</v>
      </c>
      <c r="D307" s="1046" t="s">
        <v>440</v>
      </c>
      <c r="E307" s="1046" t="s">
        <v>213</v>
      </c>
      <c r="F307" s="1046"/>
      <c r="G307" s="1046"/>
      <c r="H307" s="1046" t="s">
        <v>214</v>
      </c>
      <c r="I307" s="1046"/>
      <c r="J307" s="1046"/>
      <c r="K307" s="1046" t="s">
        <v>215</v>
      </c>
      <c r="L307" s="1046"/>
      <c r="M307" s="1046"/>
    </row>
    <row r="308" spans="2:17">
      <c r="B308" s="1046"/>
      <c r="C308" s="1046"/>
      <c r="D308" s="1046"/>
      <c r="E308" s="1046" t="s">
        <v>419</v>
      </c>
      <c r="F308" s="1103" t="s">
        <v>307</v>
      </c>
      <c r="G308" s="1103" t="s">
        <v>247</v>
      </c>
      <c r="H308" s="1103" t="s">
        <v>419</v>
      </c>
      <c r="I308" s="57" t="s">
        <v>366</v>
      </c>
      <c r="J308" s="1046" t="s">
        <v>247</v>
      </c>
      <c r="K308" s="1046" t="s">
        <v>419</v>
      </c>
      <c r="L308" s="57" t="s">
        <v>366</v>
      </c>
      <c r="M308" s="1046" t="s">
        <v>247</v>
      </c>
    </row>
    <row r="309" spans="2:17">
      <c r="B309" s="1046"/>
      <c r="C309" s="1046"/>
      <c r="D309" s="1046"/>
      <c r="E309" s="1046"/>
      <c r="F309" s="1103"/>
      <c r="G309" s="1103"/>
      <c r="H309" s="1103"/>
      <c r="I309" s="57" t="s">
        <v>434</v>
      </c>
      <c r="J309" s="1046"/>
      <c r="K309" s="1046"/>
      <c r="L309" s="57" t="s">
        <v>434</v>
      </c>
      <c r="M309" s="1046"/>
    </row>
    <row r="310" spans="2:17" ht="25.5">
      <c r="B310" s="57">
        <v>1</v>
      </c>
      <c r="C310" s="73" t="s">
        <v>458</v>
      </c>
      <c r="D310" s="37" t="s">
        <v>451</v>
      </c>
      <c r="E310" s="37">
        <v>1</v>
      </c>
      <c r="F310" s="278">
        <v>0</v>
      </c>
      <c r="G310" s="278">
        <v>0</v>
      </c>
      <c r="H310" s="258">
        <v>0</v>
      </c>
      <c r="I310" s="118">
        <v>0</v>
      </c>
      <c r="J310" s="118">
        <v>0</v>
      </c>
      <c r="K310" s="118">
        <v>0</v>
      </c>
      <c r="L310" s="118">
        <v>0</v>
      </c>
      <c r="M310" s="118">
        <v>0</v>
      </c>
      <c r="Q310" s="142">
        <v>59848.95</v>
      </c>
    </row>
    <row r="311" spans="2:17">
      <c r="B311" s="138"/>
      <c r="C311" s="128" t="s">
        <v>254</v>
      </c>
      <c r="D311" s="138"/>
      <c r="E311" s="145">
        <f>SUM(E310:E310)</f>
        <v>1</v>
      </c>
      <c r="F311" s="292" t="s">
        <v>25</v>
      </c>
      <c r="G311" s="278">
        <f>G310</f>
        <v>0</v>
      </c>
      <c r="H311" s="292" t="s">
        <v>25</v>
      </c>
      <c r="I311" s="37" t="s">
        <v>25</v>
      </c>
      <c r="J311" s="37" t="s">
        <v>25</v>
      </c>
      <c r="K311" s="37" t="s">
        <v>25</v>
      </c>
      <c r="L311" s="37" t="s">
        <v>25</v>
      </c>
      <c r="M311" s="37" t="s">
        <v>25</v>
      </c>
    </row>
    <row r="313" spans="2:17">
      <c r="B313" s="110" t="s">
        <v>235</v>
      </c>
      <c r="C313" s="110"/>
      <c r="D313" s="110"/>
      <c r="E313" s="110"/>
      <c r="F313" s="110"/>
      <c r="G313" s="110"/>
      <c r="H313" s="110"/>
      <c r="I313" s="110"/>
      <c r="J313" s="110"/>
      <c r="K313" s="110"/>
      <c r="L313" s="110"/>
      <c r="M313" s="110"/>
    </row>
    <row r="314" spans="2:17">
      <c r="B314" s="116" t="s">
        <v>236</v>
      </c>
    </row>
    <row r="315" spans="2:17">
      <c r="B315" s="116" t="s">
        <v>459</v>
      </c>
    </row>
    <row r="316" spans="2:17">
      <c r="B316" s="116" t="s">
        <v>457</v>
      </c>
    </row>
    <row r="317" spans="2:17">
      <c r="B317" s="1046" t="s">
        <v>176</v>
      </c>
      <c r="C317" s="1046" t="s">
        <v>244</v>
      </c>
      <c r="D317" s="1046" t="s">
        <v>440</v>
      </c>
      <c r="E317" s="1046" t="s">
        <v>213</v>
      </c>
      <c r="F317" s="1046"/>
      <c r="G317" s="1046"/>
      <c r="H317" s="1046" t="s">
        <v>214</v>
      </c>
      <c r="I317" s="1046"/>
      <c r="J317" s="1046"/>
      <c r="K317" s="1046" t="s">
        <v>215</v>
      </c>
      <c r="L317" s="1046"/>
      <c r="M317" s="1046"/>
    </row>
    <row r="318" spans="2:17">
      <c r="B318" s="1046"/>
      <c r="C318" s="1046"/>
      <c r="D318" s="1046"/>
      <c r="E318" s="1046" t="s">
        <v>419</v>
      </c>
      <c r="F318" s="1046" t="s">
        <v>307</v>
      </c>
      <c r="G318" s="1046" t="s">
        <v>247</v>
      </c>
      <c r="H318" s="1046" t="s">
        <v>419</v>
      </c>
      <c r="I318" s="57" t="s">
        <v>366</v>
      </c>
      <c r="J318" s="1046" t="s">
        <v>247</v>
      </c>
      <c r="K318" s="1046" t="s">
        <v>419</v>
      </c>
      <c r="L318" s="57" t="s">
        <v>366</v>
      </c>
      <c r="M318" s="1046" t="s">
        <v>247</v>
      </c>
    </row>
    <row r="319" spans="2:17">
      <c r="B319" s="1046"/>
      <c r="C319" s="1046"/>
      <c r="D319" s="1046"/>
      <c r="E319" s="1046"/>
      <c r="F319" s="1046"/>
      <c r="G319" s="1046"/>
      <c r="H319" s="1046"/>
      <c r="I319" s="57" t="s">
        <v>434</v>
      </c>
      <c r="J319" s="1046"/>
      <c r="K319" s="1046"/>
      <c r="L319" s="57" t="s">
        <v>434</v>
      </c>
      <c r="M319" s="1046"/>
    </row>
    <row r="320" spans="2:17" ht="25.5">
      <c r="B320" s="57">
        <v>1</v>
      </c>
      <c r="C320" s="73" t="s">
        <v>458</v>
      </c>
      <c r="D320" s="37" t="s">
        <v>451</v>
      </c>
      <c r="E320" s="37">
        <v>20</v>
      </c>
      <c r="F320" s="142">
        <v>0</v>
      </c>
      <c r="G320" s="142">
        <v>0</v>
      </c>
      <c r="H320" s="118">
        <v>0</v>
      </c>
      <c r="I320" s="118">
        <v>0</v>
      </c>
      <c r="J320" s="118">
        <v>0</v>
      </c>
      <c r="K320" s="118">
        <v>0</v>
      </c>
      <c r="L320" s="118">
        <v>0</v>
      </c>
      <c r="M320" s="118">
        <v>0</v>
      </c>
      <c r="Q320" s="142">
        <v>340900</v>
      </c>
    </row>
    <row r="321" spans="2:17">
      <c r="B321" s="138"/>
      <c r="C321" s="128" t="s">
        <v>254</v>
      </c>
      <c r="D321" s="138"/>
      <c r="E321" s="145">
        <f>SUM(E320:E320)</f>
        <v>20</v>
      </c>
      <c r="F321" s="37" t="s">
        <v>25</v>
      </c>
      <c r="G321" s="142">
        <f>G320</f>
        <v>0</v>
      </c>
      <c r="H321" s="37" t="s">
        <v>25</v>
      </c>
      <c r="I321" s="37" t="s">
        <v>25</v>
      </c>
      <c r="J321" s="37" t="s">
        <v>25</v>
      </c>
      <c r="K321" s="37" t="s">
        <v>25</v>
      </c>
      <c r="L321" s="37" t="s">
        <v>25</v>
      </c>
      <c r="M321" s="37" t="s">
        <v>25</v>
      </c>
    </row>
    <row r="323" spans="2:17">
      <c r="B323" s="110" t="s">
        <v>235</v>
      </c>
      <c r="C323" s="110"/>
      <c r="D323" s="110"/>
      <c r="E323" s="110"/>
      <c r="F323" s="110"/>
      <c r="G323" s="110"/>
      <c r="H323" s="110"/>
      <c r="I323" s="110"/>
      <c r="J323" s="110"/>
      <c r="K323" s="110"/>
      <c r="L323" s="110"/>
      <c r="M323" s="110"/>
    </row>
    <row r="324" spans="2:17">
      <c r="B324" s="116" t="s">
        <v>236</v>
      </c>
    </row>
    <row r="325" spans="2:17">
      <c r="B325" s="29" t="s">
        <v>460</v>
      </c>
    </row>
    <row r="326" spans="2:17" s="146" customFormat="1">
      <c r="B326" s="116" t="s">
        <v>457</v>
      </c>
      <c r="C326" s="29"/>
      <c r="D326" s="29"/>
      <c r="E326" s="29"/>
      <c r="F326" s="29"/>
      <c r="G326" s="29"/>
      <c r="H326" s="29"/>
      <c r="I326" s="29"/>
      <c r="J326" s="29"/>
      <c r="K326" s="29"/>
      <c r="L326" s="29"/>
      <c r="M326" s="29"/>
      <c r="N326" s="29"/>
      <c r="O326" s="29"/>
    </row>
    <row r="327" spans="2:17">
      <c r="B327" s="1046" t="s">
        <v>176</v>
      </c>
      <c r="C327" s="1046" t="s">
        <v>244</v>
      </c>
      <c r="D327" s="1046" t="s">
        <v>440</v>
      </c>
      <c r="E327" s="1046" t="s">
        <v>213</v>
      </c>
      <c r="F327" s="1046"/>
      <c r="G327" s="1046"/>
      <c r="H327" s="1046" t="s">
        <v>214</v>
      </c>
      <c r="I327" s="1046"/>
      <c r="J327" s="1046"/>
      <c r="K327" s="1046" t="s">
        <v>215</v>
      </c>
      <c r="L327" s="1046"/>
      <c r="M327" s="1046"/>
    </row>
    <row r="328" spans="2:17">
      <c r="B328" s="1046"/>
      <c r="C328" s="1046"/>
      <c r="D328" s="1046"/>
      <c r="E328" s="1046" t="s">
        <v>419</v>
      </c>
      <c r="F328" s="1103" t="s">
        <v>307</v>
      </c>
      <c r="G328" s="1103" t="s">
        <v>247</v>
      </c>
      <c r="H328" s="1103" t="s">
        <v>419</v>
      </c>
      <c r="I328" s="57" t="s">
        <v>366</v>
      </c>
      <c r="J328" s="1046" t="s">
        <v>247</v>
      </c>
      <c r="K328" s="1046" t="s">
        <v>419</v>
      </c>
      <c r="L328" s="57" t="s">
        <v>366</v>
      </c>
      <c r="M328" s="1046" t="s">
        <v>247</v>
      </c>
    </row>
    <row r="329" spans="2:17">
      <c r="B329" s="1046"/>
      <c r="C329" s="1046"/>
      <c r="D329" s="1046"/>
      <c r="E329" s="1046"/>
      <c r="F329" s="1103"/>
      <c r="G329" s="1103"/>
      <c r="H329" s="1103"/>
      <c r="I329" s="57" t="s">
        <v>434</v>
      </c>
      <c r="J329" s="1046"/>
      <c r="K329" s="1046"/>
      <c r="L329" s="57" t="s">
        <v>434</v>
      </c>
      <c r="M329" s="1046"/>
    </row>
    <row r="330" spans="2:17" ht="25.5">
      <c r="B330" s="57">
        <v>1</v>
      </c>
      <c r="C330" s="73" t="s">
        <v>458</v>
      </c>
      <c r="D330" s="37" t="s">
        <v>451</v>
      </c>
      <c r="E330" s="37">
        <v>25</v>
      </c>
      <c r="F330" s="278">
        <v>0</v>
      </c>
      <c r="G330" s="278">
        <v>0</v>
      </c>
      <c r="H330" s="258">
        <v>0</v>
      </c>
      <c r="I330" s="118">
        <v>0</v>
      </c>
      <c r="J330" s="118">
        <v>0</v>
      </c>
      <c r="K330" s="118">
        <v>0</v>
      </c>
      <c r="L330" s="118">
        <v>0</v>
      </c>
      <c r="M330" s="118">
        <v>0</v>
      </c>
      <c r="Q330" s="142">
        <v>795400</v>
      </c>
    </row>
    <row r="331" spans="2:17">
      <c r="B331" s="138"/>
      <c r="C331" s="128" t="s">
        <v>254</v>
      </c>
      <c r="D331" s="138"/>
      <c r="E331" s="145">
        <f>SUM(E330:E330)</f>
        <v>25</v>
      </c>
      <c r="F331" s="292" t="s">
        <v>25</v>
      </c>
      <c r="G331" s="278">
        <f>SUM(G330:G330)</f>
        <v>0</v>
      </c>
      <c r="H331" s="292" t="s">
        <v>25</v>
      </c>
      <c r="I331" s="37" t="s">
        <v>25</v>
      </c>
      <c r="J331" s="37" t="s">
        <v>25</v>
      </c>
      <c r="K331" s="37" t="s">
        <v>25</v>
      </c>
      <c r="L331" s="37" t="s">
        <v>25</v>
      </c>
      <c r="M331" s="37" t="s">
        <v>25</v>
      </c>
    </row>
    <row r="332" spans="2:17">
      <c r="C332" s="131"/>
      <c r="E332" s="147"/>
      <c r="F332" s="30"/>
      <c r="G332" s="133"/>
      <c r="H332" s="30"/>
      <c r="I332" s="30"/>
      <c r="J332" s="30"/>
      <c r="K332" s="30"/>
      <c r="L332" s="30"/>
      <c r="M332" s="30"/>
      <c r="Q332" t="s">
        <v>461</v>
      </c>
    </row>
    <row r="333" spans="2:17">
      <c r="B333" s="146" t="s">
        <v>243</v>
      </c>
      <c r="C333" s="146"/>
      <c r="D333" s="146"/>
      <c r="E333" s="146"/>
      <c r="F333" s="146"/>
      <c r="G333" s="146"/>
      <c r="H333" s="146"/>
      <c r="I333" s="146"/>
      <c r="J333" s="146"/>
      <c r="K333" s="146"/>
      <c r="L333" s="146"/>
      <c r="M333" s="146"/>
    </row>
    <row r="334" spans="2:17">
      <c r="B334" s="29" t="s">
        <v>239</v>
      </c>
    </row>
    <row r="335" spans="2:17">
      <c r="B335" s="29" t="s">
        <v>527</v>
      </c>
    </row>
    <row r="336" spans="2:17" s="146" customFormat="1">
      <c r="B336" s="116" t="s">
        <v>528</v>
      </c>
      <c r="C336" s="29"/>
      <c r="D336" s="29"/>
      <c r="E336" s="29"/>
      <c r="F336" s="29"/>
      <c r="G336" s="29"/>
      <c r="H336" s="29"/>
      <c r="I336" s="29"/>
      <c r="J336" s="29"/>
      <c r="K336" s="29"/>
      <c r="L336" s="29"/>
      <c r="M336" s="29"/>
      <c r="N336" s="29"/>
      <c r="O336" s="29"/>
    </row>
    <row r="337" spans="2:17">
      <c r="B337" s="1046" t="s">
        <v>176</v>
      </c>
      <c r="C337" s="1046" t="s">
        <v>244</v>
      </c>
      <c r="D337" s="1046" t="s">
        <v>440</v>
      </c>
      <c r="E337" s="1046" t="s">
        <v>213</v>
      </c>
      <c r="F337" s="1046"/>
      <c r="G337" s="1046"/>
      <c r="H337" s="1046" t="s">
        <v>214</v>
      </c>
      <c r="I337" s="1046"/>
      <c r="J337" s="1046"/>
      <c r="K337" s="1046" t="s">
        <v>215</v>
      </c>
      <c r="L337" s="1046"/>
      <c r="M337" s="1046"/>
    </row>
    <row r="338" spans="2:17">
      <c r="B338" s="1046"/>
      <c r="C338" s="1046"/>
      <c r="D338" s="1046"/>
      <c r="E338" s="1046" t="s">
        <v>419</v>
      </c>
      <c r="F338" s="1046" t="s">
        <v>307</v>
      </c>
      <c r="G338" s="1046" t="s">
        <v>247</v>
      </c>
      <c r="H338" s="1046" t="s">
        <v>419</v>
      </c>
      <c r="I338" s="57" t="s">
        <v>366</v>
      </c>
      <c r="J338" s="1046" t="s">
        <v>247</v>
      </c>
      <c r="K338" s="1046" t="s">
        <v>419</v>
      </c>
      <c r="L338" s="57" t="s">
        <v>366</v>
      </c>
      <c r="M338" s="1046" t="s">
        <v>247</v>
      </c>
    </row>
    <row r="339" spans="2:17">
      <c r="B339" s="1046"/>
      <c r="C339" s="1046"/>
      <c r="D339" s="1046"/>
      <c r="E339" s="1046"/>
      <c r="F339" s="1046"/>
      <c r="G339" s="1046"/>
      <c r="H339" s="1046"/>
      <c r="I339" s="57" t="s">
        <v>434</v>
      </c>
      <c r="J339" s="1046"/>
      <c r="K339" s="1046"/>
      <c r="L339" s="57" t="s">
        <v>434</v>
      </c>
      <c r="M339" s="1046"/>
    </row>
    <row r="340" spans="2:17" s="259" customFormat="1" ht="38.25">
      <c r="B340" s="257">
        <v>1</v>
      </c>
      <c r="C340" s="257" t="s">
        <v>532</v>
      </c>
      <c r="D340" s="260" t="s">
        <v>451</v>
      </c>
      <c r="E340" s="260">
        <v>4</v>
      </c>
      <c r="F340" s="137">
        <f t="shared" ref="F340:F380" si="16">G340/E340</f>
        <v>0</v>
      </c>
      <c r="G340" s="261">
        <v>0</v>
      </c>
      <c r="H340" s="258">
        <v>0</v>
      </c>
      <c r="I340" s="258">
        <v>0</v>
      </c>
      <c r="J340" s="258">
        <v>0</v>
      </c>
      <c r="K340" s="258">
        <v>0</v>
      </c>
      <c r="L340" s="258">
        <v>0</v>
      </c>
      <c r="M340" s="258">
        <v>0</v>
      </c>
    </row>
    <row r="341" spans="2:17" s="259" customFormat="1" ht="25.5">
      <c r="B341" s="257">
        <v>2</v>
      </c>
      <c r="C341" s="257" t="s">
        <v>533</v>
      </c>
      <c r="D341" s="260" t="s">
        <v>451</v>
      </c>
      <c r="E341" s="260">
        <v>391</v>
      </c>
      <c r="F341" s="137">
        <f t="shared" si="16"/>
        <v>0</v>
      </c>
      <c r="G341" s="261">
        <v>0</v>
      </c>
      <c r="H341" s="258">
        <v>0</v>
      </c>
      <c r="I341" s="258">
        <v>0</v>
      </c>
      <c r="J341" s="258">
        <v>0</v>
      </c>
      <c r="K341" s="258">
        <v>0</v>
      </c>
      <c r="L341" s="258">
        <v>0</v>
      </c>
      <c r="M341" s="258">
        <v>0</v>
      </c>
    </row>
    <row r="342" spans="2:17" s="259" customFormat="1" ht="38.25">
      <c r="B342" s="257">
        <v>3</v>
      </c>
      <c r="C342" s="257" t="s">
        <v>534</v>
      </c>
      <c r="D342" s="260" t="s">
        <v>451</v>
      </c>
      <c r="E342" s="260">
        <v>755</v>
      </c>
      <c r="F342" s="137">
        <f t="shared" si="16"/>
        <v>0</v>
      </c>
      <c r="G342" s="261">
        <v>0</v>
      </c>
      <c r="H342" s="258">
        <v>0</v>
      </c>
      <c r="I342" s="258">
        <v>0</v>
      </c>
      <c r="J342" s="258">
        <v>0</v>
      </c>
      <c r="K342" s="258">
        <v>0</v>
      </c>
      <c r="L342" s="258">
        <v>0</v>
      </c>
      <c r="M342" s="258">
        <v>0</v>
      </c>
    </row>
    <row r="343" spans="2:17" ht="25.5">
      <c r="B343" s="253">
        <v>4</v>
      </c>
      <c r="C343" s="253" t="s">
        <v>463</v>
      </c>
      <c r="D343" s="127" t="s">
        <v>451</v>
      </c>
      <c r="E343" s="127">
        <f>45+2</f>
        <v>47</v>
      </c>
      <c r="F343" s="137">
        <f t="shared" si="16"/>
        <v>0</v>
      </c>
      <c r="G343" s="137">
        <v>0</v>
      </c>
      <c r="H343" s="118">
        <v>0</v>
      </c>
      <c r="I343" s="118">
        <v>0</v>
      </c>
      <c r="J343" s="118">
        <v>0</v>
      </c>
      <c r="K343" s="118">
        <v>0</v>
      </c>
      <c r="L343" s="118">
        <v>0</v>
      </c>
      <c r="M343" s="118">
        <v>0</v>
      </c>
    </row>
    <row r="344" spans="2:17">
      <c r="B344" s="138"/>
      <c r="C344" s="128" t="s">
        <v>254</v>
      </c>
      <c r="D344" s="138"/>
      <c r="E344" s="145" t="s">
        <v>25</v>
      </c>
      <c r="F344" s="37" t="s">
        <v>25</v>
      </c>
      <c r="G344" s="142">
        <f>SUM(G340:G343)</f>
        <v>0</v>
      </c>
      <c r="H344" s="37" t="s">
        <v>25</v>
      </c>
      <c r="I344" s="37" t="s">
        <v>25</v>
      </c>
      <c r="J344" s="142">
        <f>SUM(J340:J343)</f>
        <v>0</v>
      </c>
      <c r="K344" s="37" t="s">
        <v>25</v>
      </c>
      <c r="L344" s="37" t="s">
        <v>25</v>
      </c>
      <c r="M344" s="142">
        <f>SUM(M340:M343)</f>
        <v>0</v>
      </c>
    </row>
    <row r="345" spans="2:17">
      <c r="C345" s="131"/>
      <c r="E345" s="147"/>
      <c r="F345" s="30"/>
      <c r="G345" s="133"/>
      <c r="H345" s="30"/>
      <c r="I345" s="30"/>
      <c r="J345" s="30"/>
      <c r="K345" s="30"/>
      <c r="L345" s="30"/>
      <c r="M345" s="30"/>
      <c r="Q345" t="s">
        <v>464</v>
      </c>
    </row>
    <row r="346" spans="2:17">
      <c r="B346" s="622" t="s">
        <v>240</v>
      </c>
      <c r="C346" s="622"/>
      <c r="D346" s="622"/>
      <c r="E346" s="622"/>
      <c r="F346" s="622"/>
      <c r="G346" s="622"/>
      <c r="H346" s="622"/>
      <c r="I346" s="622"/>
      <c r="J346" s="622"/>
      <c r="K346" s="622"/>
      <c r="L346" s="622"/>
      <c r="M346" s="622"/>
    </row>
    <row r="347" spans="2:17">
      <c r="B347" s="312" t="s">
        <v>241</v>
      </c>
      <c r="C347" s="312"/>
      <c r="D347" s="312"/>
      <c r="E347" s="312"/>
      <c r="F347" s="312"/>
      <c r="G347" s="312"/>
      <c r="H347" s="312"/>
      <c r="I347" s="312"/>
      <c r="J347" s="312"/>
      <c r="K347" s="312"/>
      <c r="L347" s="312"/>
      <c r="M347" s="312"/>
    </row>
    <row r="348" spans="2:17">
      <c r="B348" s="312" t="s">
        <v>242</v>
      </c>
      <c r="C348" s="312"/>
      <c r="D348" s="312"/>
      <c r="E348" s="312"/>
      <c r="F348" s="312"/>
      <c r="G348" s="312"/>
      <c r="H348" s="312"/>
      <c r="I348" s="312"/>
      <c r="J348" s="312"/>
      <c r="K348" s="312"/>
      <c r="L348" s="312"/>
      <c r="M348" s="312"/>
    </row>
    <row r="349" spans="2:17" s="120" customFormat="1">
      <c r="B349" s="312" t="s">
        <v>668</v>
      </c>
      <c r="C349" s="312"/>
      <c r="D349" s="312"/>
      <c r="E349" s="312"/>
      <c r="F349" s="312"/>
      <c r="G349" s="312"/>
      <c r="H349" s="312"/>
      <c r="I349" s="312"/>
      <c r="J349" s="312"/>
      <c r="K349" s="312"/>
      <c r="L349" s="312"/>
      <c r="M349" s="312"/>
    </row>
    <row r="350" spans="2:17">
      <c r="B350" s="623" t="s">
        <v>462</v>
      </c>
      <c r="C350" s="312"/>
      <c r="D350" s="312"/>
      <c r="E350" s="312"/>
      <c r="F350" s="312"/>
      <c r="G350" s="312"/>
      <c r="H350" s="312"/>
      <c r="I350" s="312"/>
      <c r="J350" s="312"/>
      <c r="K350" s="312"/>
      <c r="L350" s="312"/>
      <c r="M350" s="312"/>
    </row>
    <row r="351" spans="2:17">
      <c r="B351" s="1097" t="s">
        <v>176</v>
      </c>
      <c r="C351" s="1097" t="s">
        <v>244</v>
      </c>
      <c r="D351" s="1097" t="s">
        <v>440</v>
      </c>
      <c r="E351" s="1097" t="s">
        <v>559</v>
      </c>
      <c r="F351" s="1097"/>
      <c r="G351" s="1097"/>
      <c r="H351" s="1097" t="s">
        <v>560</v>
      </c>
      <c r="I351" s="1097"/>
      <c r="J351" s="1097"/>
      <c r="K351" s="1097" t="s">
        <v>561</v>
      </c>
      <c r="L351" s="1097"/>
      <c r="M351" s="1097"/>
    </row>
    <row r="352" spans="2:17">
      <c r="B352" s="1097"/>
      <c r="C352" s="1097"/>
      <c r="D352" s="1097"/>
      <c r="E352" s="1097" t="s">
        <v>419</v>
      </c>
      <c r="F352" s="1097" t="s">
        <v>307</v>
      </c>
      <c r="G352" s="1097" t="s">
        <v>247</v>
      </c>
      <c r="H352" s="1097" t="s">
        <v>419</v>
      </c>
      <c r="I352" s="619" t="s">
        <v>366</v>
      </c>
      <c r="J352" s="1097" t="s">
        <v>247</v>
      </c>
      <c r="K352" s="1097" t="s">
        <v>419</v>
      </c>
      <c r="L352" s="619" t="s">
        <v>366</v>
      </c>
      <c r="M352" s="1097" t="s">
        <v>247</v>
      </c>
    </row>
    <row r="353" spans="2:13">
      <c r="B353" s="1097"/>
      <c r="C353" s="1097"/>
      <c r="D353" s="1097"/>
      <c r="E353" s="1097"/>
      <c r="F353" s="1097"/>
      <c r="G353" s="1097"/>
      <c r="H353" s="1097"/>
      <c r="I353" s="619" t="s">
        <v>434</v>
      </c>
      <c r="J353" s="1097"/>
      <c r="K353" s="1097"/>
      <c r="L353" s="619" t="s">
        <v>434</v>
      </c>
      <c r="M353" s="1097"/>
    </row>
    <row r="354" spans="2:13" ht="25.5">
      <c r="B354" s="619">
        <v>1</v>
      </c>
      <c r="C354" s="321" t="s">
        <v>653</v>
      </c>
      <c r="D354" s="323" t="s">
        <v>465</v>
      </c>
      <c r="E354" s="323">
        <v>10</v>
      </c>
      <c r="F354" s="325">
        <f t="shared" si="16"/>
        <v>7903.21</v>
      </c>
      <c r="G354" s="325">
        <f>813930-G355-G356-G357-G358-G359</f>
        <v>79032.05</v>
      </c>
      <c r="H354" s="624">
        <v>0</v>
      </c>
      <c r="I354" s="624">
        <v>0</v>
      </c>
      <c r="J354" s="624">
        <v>0</v>
      </c>
      <c r="K354" s="624">
        <v>0</v>
      </c>
      <c r="L354" s="624">
        <v>0</v>
      </c>
      <c r="M354" s="624">
        <v>0</v>
      </c>
    </row>
    <row r="355" spans="2:13" s="120" customFormat="1">
      <c r="B355" s="619">
        <v>2</v>
      </c>
      <c r="C355" s="321" t="s">
        <v>654</v>
      </c>
      <c r="D355" s="323" t="s">
        <v>465</v>
      </c>
      <c r="E355" s="323">
        <v>1</v>
      </c>
      <c r="F355" s="325">
        <f t="shared" si="16"/>
        <v>5219</v>
      </c>
      <c r="G355" s="325">
        <v>5219</v>
      </c>
      <c r="H355" s="624">
        <v>0</v>
      </c>
      <c r="I355" s="624">
        <v>0</v>
      </c>
      <c r="J355" s="624">
        <v>0</v>
      </c>
      <c r="K355" s="624">
        <v>0</v>
      </c>
      <c r="L355" s="624">
        <v>0</v>
      </c>
      <c r="M355" s="624">
        <v>0</v>
      </c>
    </row>
    <row r="356" spans="2:13" s="120" customFormat="1" ht="25.5">
      <c r="B356" s="619">
        <v>3</v>
      </c>
      <c r="C356" s="321" t="s">
        <v>655</v>
      </c>
      <c r="D356" s="323" t="s">
        <v>465</v>
      </c>
      <c r="E356" s="323">
        <v>1</v>
      </c>
      <c r="F356" s="325">
        <f t="shared" si="16"/>
        <v>24650</v>
      </c>
      <c r="G356" s="325">
        <v>24650</v>
      </c>
      <c r="H356" s="624">
        <v>0</v>
      </c>
      <c r="I356" s="624">
        <v>0</v>
      </c>
      <c r="J356" s="624">
        <v>0</v>
      </c>
      <c r="K356" s="624">
        <v>0</v>
      </c>
      <c r="L356" s="624">
        <v>0</v>
      </c>
      <c r="M356" s="624">
        <v>0</v>
      </c>
    </row>
    <row r="357" spans="2:13" s="120" customFormat="1">
      <c r="B357" s="619">
        <v>4</v>
      </c>
      <c r="C357" s="321" t="s">
        <v>656</v>
      </c>
      <c r="D357" s="323" t="s">
        <v>465</v>
      </c>
      <c r="E357" s="323">
        <v>15</v>
      </c>
      <c r="F357" s="325">
        <f t="shared" si="16"/>
        <v>2861.93</v>
      </c>
      <c r="G357" s="325">
        <v>42928.95</v>
      </c>
      <c r="H357" s="624">
        <v>0</v>
      </c>
      <c r="I357" s="624">
        <v>0</v>
      </c>
      <c r="J357" s="624">
        <v>0</v>
      </c>
      <c r="K357" s="624">
        <v>0</v>
      </c>
      <c r="L357" s="624">
        <v>0</v>
      </c>
      <c r="M357" s="624">
        <v>0</v>
      </c>
    </row>
    <row r="358" spans="2:13" s="120" customFormat="1" ht="25.5">
      <c r="B358" s="619">
        <v>5</v>
      </c>
      <c r="C358" s="321" t="s">
        <v>657</v>
      </c>
      <c r="D358" s="323" t="s">
        <v>465</v>
      </c>
      <c r="E358" s="323">
        <v>1</v>
      </c>
      <c r="F358" s="325">
        <f t="shared" si="16"/>
        <v>98500</v>
      </c>
      <c r="G358" s="325">
        <v>98500</v>
      </c>
      <c r="H358" s="624">
        <v>0</v>
      </c>
      <c r="I358" s="624">
        <v>0</v>
      </c>
      <c r="J358" s="624">
        <v>0</v>
      </c>
      <c r="K358" s="624">
        <v>0</v>
      </c>
      <c r="L358" s="624">
        <v>0</v>
      </c>
      <c r="M358" s="624">
        <v>0</v>
      </c>
    </row>
    <row r="359" spans="2:13" s="120" customFormat="1" ht="25.5">
      <c r="B359" s="619">
        <v>6</v>
      </c>
      <c r="C359" s="321" t="s">
        <v>658</v>
      </c>
      <c r="D359" s="323" t="s">
        <v>465</v>
      </c>
      <c r="E359" s="323" t="s">
        <v>25</v>
      </c>
      <c r="F359" s="325" t="s">
        <v>25</v>
      </c>
      <c r="G359" s="325">
        <f>SUM(G360:G363)</f>
        <v>563600</v>
      </c>
      <c r="H359" s="624">
        <v>0</v>
      </c>
      <c r="I359" s="624">
        <v>0</v>
      </c>
      <c r="J359" s="624">
        <v>0</v>
      </c>
      <c r="K359" s="624">
        <v>0</v>
      </c>
      <c r="L359" s="624">
        <v>0</v>
      </c>
      <c r="M359" s="624">
        <v>0</v>
      </c>
    </row>
    <row r="360" spans="2:13" s="120" customFormat="1" ht="38.25">
      <c r="B360" s="625" t="s">
        <v>663</v>
      </c>
      <c r="C360" s="626" t="s">
        <v>659</v>
      </c>
      <c r="D360" s="627" t="s">
        <v>465</v>
      </c>
      <c r="E360" s="627">
        <v>1</v>
      </c>
      <c r="F360" s="628">
        <f t="shared" si="16"/>
        <v>105000</v>
      </c>
      <c r="G360" s="628">
        <v>105000</v>
      </c>
      <c r="H360" s="624">
        <v>0</v>
      </c>
      <c r="I360" s="624">
        <v>0</v>
      </c>
      <c r="J360" s="624">
        <v>0</v>
      </c>
      <c r="K360" s="624">
        <v>0</v>
      </c>
      <c r="L360" s="624">
        <v>0</v>
      </c>
      <c r="M360" s="624">
        <v>0</v>
      </c>
    </row>
    <row r="361" spans="2:13" s="120" customFormat="1" ht="38.25">
      <c r="B361" s="626" t="s">
        <v>664</v>
      </c>
      <c r="C361" s="626" t="s">
        <v>660</v>
      </c>
      <c r="D361" s="627" t="s">
        <v>465</v>
      </c>
      <c r="E361" s="627">
        <v>1</v>
      </c>
      <c r="F361" s="628">
        <f t="shared" si="16"/>
        <v>113000</v>
      </c>
      <c r="G361" s="628">
        <v>113000</v>
      </c>
      <c r="H361" s="624">
        <v>0</v>
      </c>
      <c r="I361" s="624">
        <v>0</v>
      </c>
      <c r="J361" s="624">
        <v>0</v>
      </c>
      <c r="K361" s="624">
        <v>0</v>
      </c>
      <c r="L361" s="624">
        <v>0</v>
      </c>
      <c r="M361" s="624">
        <v>0</v>
      </c>
    </row>
    <row r="362" spans="2:13" s="120" customFormat="1" ht="38.25">
      <c r="B362" s="626" t="s">
        <v>665</v>
      </c>
      <c r="C362" s="626" t="s">
        <v>661</v>
      </c>
      <c r="D362" s="627" t="s">
        <v>465</v>
      </c>
      <c r="E362" s="627">
        <v>2</v>
      </c>
      <c r="F362" s="628">
        <f t="shared" si="16"/>
        <v>118000</v>
      </c>
      <c r="G362" s="628">
        <v>236000</v>
      </c>
      <c r="H362" s="624">
        <v>0</v>
      </c>
      <c r="I362" s="624">
        <v>0</v>
      </c>
      <c r="J362" s="624">
        <v>0</v>
      </c>
      <c r="K362" s="624">
        <v>0</v>
      </c>
      <c r="L362" s="624">
        <v>0</v>
      </c>
      <c r="M362" s="624">
        <v>0</v>
      </c>
    </row>
    <row r="363" spans="2:13" s="120" customFormat="1" ht="38.25">
      <c r="B363" s="626" t="s">
        <v>666</v>
      </c>
      <c r="C363" s="626" t="s">
        <v>662</v>
      </c>
      <c r="D363" s="627" t="s">
        <v>465</v>
      </c>
      <c r="E363" s="627">
        <v>1</v>
      </c>
      <c r="F363" s="628">
        <f t="shared" si="16"/>
        <v>109600</v>
      </c>
      <c r="G363" s="628">
        <v>109600</v>
      </c>
      <c r="H363" s="624">
        <v>0</v>
      </c>
      <c r="I363" s="624">
        <v>0</v>
      </c>
      <c r="J363" s="624">
        <v>0</v>
      </c>
      <c r="K363" s="624">
        <v>0</v>
      </c>
      <c r="L363" s="624">
        <v>0</v>
      </c>
      <c r="M363" s="624">
        <v>0</v>
      </c>
    </row>
    <row r="364" spans="2:13" s="618" customFormat="1" ht="14.25">
      <c r="B364" s="629" t="s">
        <v>25</v>
      </c>
      <c r="C364" s="630" t="s">
        <v>254</v>
      </c>
      <c r="D364" s="629" t="s">
        <v>25</v>
      </c>
      <c r="E364" s="631">
        <f>SUM(E353:E354)</f>
        <v>10</v>
      </c>
      <c r="F364" s="629" t="s">
        <v>25</v>
      </c>
      <c r="G364" s="632">
        <f>G354+G355+G356+G357+G358+G359</f>
        <v>813930</v>
      </c>
      <c r="H364" s="629" t="s">
        <v>25</v>
      </c>
      <c r="I364" s="629" t="s">
        <v>25</v>
      </c>
      <c r="J364" s="633">
        <f>J363</f>
        <v>0</v>
      </c>
      <c r="K364" s="629" t="s">
        <v>25</v>
      </c>
      <c r="L364" s="629" t="s">
        <v>25</v>
      </c>
      <c r="M364" s="633">
        <f>M363</f>
        <v>0</v>
      </c>
    </row>
    <row r="366" spans="2:13">
      <c r="B366" s="114" t="s">
        <v>240</v>
      </c>
      <c r="C366" s="114"/>
      <c r="D366" s="114"/>
      <c r="E366" s="114"/>
      <c r="F366" s="114"/>
      <c r="G366" s="114"/>
      <c r="H366" s="114"/>
      <c r="I366" s="114"/>
      <c r="J366" s="114"/>
      <c r="K366" s="114"/>
      <c r="L366" s="114"/>
      <c r="M366" s="114"/>
    </row>
    <row r="367" spans="2:13">
      <c r="B367" s="116" t="s">
        <v>241</v>
      </c>
    </row>
    <row r="368" spans="2:13">
      <c r="B368" s="29" t="s">
        <v>242</v>
      </c>
    </row>
    <row r="369" spans="2:13">
      <c r="B369" s="116" t="s">
        <v>249</v>
      </c>
    </row>
    <row r="370" spans="2:13">
      <c r="B370" s="1046" t="s">
        <v>176</v>
      </c>
      <c r="C370" s="1046" t="s">
        <v>244</v>
      </c>
      <c r="D370" s="1046" t="s">
        <v>440</v>
      </c>
      <c r="E370" s="1046" t="s">
        <v>213</v>
      </c>
      <c r="F370" s="1046"/>
      <c r="G370" s="1046"/>
      <c r="H370" s="1046" t="s">
        <v>214</v>
      </c>
      <c r="I370" s="1046"/>
      <c r="J370" s="1046"/>
      <c r="K370" s="1046" t="s">
        <v>215</v>
      </c>
      <c r="L370" s="1046"/>
      <c r="M370" s="1046"/>
    </row>
    <row r="371" spans="2:13">
      <c r="B371" s="1046"/>
      <c r="C371" s="1046"/>
      <c r="D371" s="1046"/>
      <c r="E371" s="1046" t="s">
        <v>419</v>
      </c>
      <c r="F371" s="1046" t="s">
        <v>307</v>
      </c>
      <c r="G371" s="1046" t="s">
        <v>247</v>
      </c>
      <c r="H371" s="1046" t="s">
        <v>419</v>
      </c>
      <c r="I371" s="57" t="s">
        <v>366</v>
      </c>
      <c r="J371" s="1046" t="s">
        <v>247</v>
      </c>
      <c r="K371" s="1046" t="s">
        <v>419</v>
      </c>
      <c r="L371" s="57" t="s">
        <v>366</v>
      </c>
      <c r="M371" s="1046" t="s">
        <v>247</v>
      </c>
    </row>
    <row r="372" spans="2:13">
      <c r="B372" s="1046"/>
      <c r="C372" s="1046"/>
      <c r="D372" s="1046"/>
      <c r="E372" s="1046"/>
      <c r="F372" s="1046"/>
      <c r="G372" s="1046"/>
      <c r="H372" s="1046"/>
      <c r="I372" s="57" t="s">
        <v>434</v>
      </c>
      <c r="J372" s="1046"/>
      <c r="K372" s="1046"/>
      <c r="L372" s="57" t="s">
        <v>434</v>
      </c>
      <c r="M372" s="1046"/>
    </row>
    <row r="373" spans="2:13" ht="25.5">
      <c r="B373" s="308">
        <v>1</v>
      </c>
      <c r="C373" s="327" t="s">
        <v>639</v>
      </c>
      <c r="D373" s="328" t="s">
        <v>451</v>
      </c>
      <c r="E373" s="328">
        <v>1541</v>
      </c>
      <c r="F373" s="329">
        <f t="shared" si="16"/>
        <v>41.58</v>
      </c>
      <c r="G373" s="326">
        <v>64078</v>
      </c>
      <c r="H373" s="328">
        <v>1541</v>
      </c>
      <c r="I373" s="329">
        <f t="shared" ref="I373:I380" si="17">J373/H373</f>
        <v>41.58</v>
      </c>
      <c r="J373" s="330">
        <v>64078</v>
      </c>
      <c r="K373" s="328">
        <v>1541</v>
      </c>
      <c r="L373" s="329">
        <f t="shared" ref="L373:L380" si="18">M373/K373</f>
        <v>41.58</v>
      </c>
      <c r="M373" s="330">
        <v>64078</v>
      </c>
    </row>
    <row r="374" spans="2:13" ht="38.25">
      <c r="B374" s="308">
        <v>2</v>
      </c>
      <c r="C374" s="327" t="s">
        <v>540</v>
      </c>
      <c r="D374" s="328" t="s">
        <v>451</v>
      </c>
      <c r="E374" s="328">
        <f>13+5</f>
        <v>18</v>
      </c>
      <c r="F374" s="329">
        <f t="shared" si="16"/>
        <v>2778.52</v>
      </c>
      <c r="G374" s="326">
        <v>50013.29</v>
      </c>
      <c r="H374" s="328">
        <v>13</v>
      </c>
      <c r="I374" s="329">
        <f t="shared" si="17"/>
        <v>3847.18</v>
      </c>
      <c r="J374" s="330">
        <v>50013.29</v>
      </c>
      <c r="K374" s="328">
        <v>13</v>
      </c>
      <c r="L374" s="329">
        <f t="shared" si="18"/>
        <v>3847.18</v>
      </c>
      <c r="M374" s="330">
        <v>50013.29</v>
      </c>
    </row>
    <row r="375" spans="2:13" ht="25.5">
      <c r="B375" s="308">
        <v>3</v>
      </c>
      <c r="C375" s="327" t="s">
        <v>466</v>
      </c>
      <c r="D375" s="328" t="s">
        <v>451</v>
      </c>
      <c r="E375" s="328">
        <v>6193</v>
      </c>
      <c r="F375" s="329">
        <f t="shared" si="16"/>
        <v>13.06</v>
      </c>
      <c r="G375" s="326">
        <v>80867.289999999994</v>
      </c>
      <c r="H375" s="328">
        <v>6193</v>
      </c>
      <c r="I375" s="329">
        <f t="shared" si="17"/>
        <v>13.06</v>
      </c>
      <c r="J375" s="330">
        <v>80867.289999999994</v>
      </c>
      <c r="K375" s="328">
        <v>6193</v>
      </c>
      <c r="L375" s="329">
        <f t="shared" si="18"/>
        <v>13.06</v>
      </c>
      <c r="M375" s="330">
        <v>80867.289999999994</v>
      </c>
    </row>
    <row r="376" spans="2:13" ht="63.75">
      <c r="B376" s="308">
        <v>4</v>
      </c>
      <c r="C376" s="327" t="s">
        <v>584</v>
      </c>
      <c r="D376" s="328" t="s">
        <v>451</v>
      </c>
      <c r="E376" s="328">
        <v>50</v>
      </c>
      <c r="F376" s="329">
        <f>G376/E376</f>
        <v>357.3</v>
      </c>
      <c r="G376" s="326">
        <v>17864.91</v>
      </c>
      <c r="H376" s="328">
        <v>50</v>
      </c>
      <c r="I376" s="329">
        <f t="shared" si="17"/>
        <v>419.54</v>
      </c>
      <c r="J376" s="330">
        <v>20977.18</v>
      </c>
      <c r="K376" s="328">
        <v>50</v>
      </c>
      <c r="L376" s="329">
        <f t="shared" si="18"/>
        <v>415.78</v>
      </c>
      <c r="M376" s="330">
        <v>20789.150000000001</v>
      </c>
    </row>
    <row r="377" spans="2:13" s="120" customFormat="1" ht="38.25">
      <c r="B377" s="308"/>
      <c r="C377" s="327" t="s">
        <v>640</v>
      </c>
      <c r="D377" s="328"/>
      <c r="E377" s="328" t="s">
        <v>25</v>
      </c>
      <c r="F377" s="329" t="s">
        <v>25</v>
      </c>
      <c r="G377" s="326">
        <v>286260.94</v>
      </c>
      <c r="H377" s="328" t="s">
        <v>25</v>
      </c>
      <c r="I377" s="329" t="s">
        <v>25</v>
      </c>
      <c r="J377" s="330">
        <v>286260.94</v>
      </c>
      <c r="K377" s="328" t="s">
        <v>25</v>
      </c>
      <c r="L377" s="329" t="s">
        <v>25</v>
      </c>
      <c r="M377" s="330">
        <v>286260.94</v>
      </c>
    </row>
    <row r="378" spans="2:13" s="120" customFormat="1" ht="38.25">
      <c r="B378" s="308">
        <v>4</v>
      </c>
      <c r="C378" s="327" t="s">
        <v>641</v>
      </c>
      <c r="D378" s="328" t="s">
        <v>451</v>
      </c>
      <c r="E378" s="328" t="s">
        <v>25</v>
      </c>
      <c r="F378" s="328" t="s">
        <v>25</v>
      </c>
      <c r="G378" s="326">
        <v>246902.68</v>
      </c>
      <c r="H378" s="328" t="s">
        <v>25</v>
      </c>
      <c r="I378" s="328" t="s">
        <v>25</v>
      </c>
      <c r="J378" s="330">
        <v>246902.68</v>
      </c>
      <c r="K378" s="328" t="s">
        <v>25</v>
      </c>
      <c r="L378" s="328" t="s">
        <v>25</v>
      </c>
      <c r="M378" s="330">
        <v>246902.68</v>
      </c>
    </row>
    <row r="379" spans="2:13" s="120" customFormat="1" ht="38.25">
      <c r="B379" s="308"/>
      <c r="C379" s="327" t="s">
        <v>642</v>
      </c>
      <c r="D379" s="328"/>
      <c r="E379" s="328" t="s">
        <v>25</v>
      </c>
      <c r="F379" s="328" t="s">
        <v>25</v>
      </c>
      <c r="G379" s="326">
        <v>29911.9</v>
      </c>
      <c r="H379" s="328" t="s">
        <v>25</v>
      </c>
      <c r="I379" s="328" t="s">
        <v>25</v>
      </c>
      <c r="J379" s="330">
        <v>29911.9</v>
      </c>
      <c r="K379" s="328" t="s">
        <v>25</v>
      </c>
      <c r="L379" s="328" t="s">
        <v>25</v>
      </c>
      <c r="M379" s="330">
        <v>29911.9</v>
      </c>
    </row>
    <row r="380" spans="2:13" ht="38.25">
      <c r="B380" s="57">
        <v>5</v>
      </c>
      <c r="C380" s="73" t="s">
        <v>467</v>
      </c>
      <c r="D380" s="37" t="s">
        <v>468</v>
      </c>
      <c r="E380" s="37">
        <v>30000</v>
      </c>
      <c r="F380" s="129">
        <f t="shared" si="16"/>
        <v>2.27</v>
      </c>
      <c r="G380" s="142">
        <f>117600-49560</f>
        <v>68040</v>
      </c>
      <c r="H380" s="37">
        <v>60000</v>
      </c>
      <c r="I380" s="129">
        <f t="shared" si="17"/>
        <v>1.96</v>
      </c>
      <c r="J380" s="142">
        <v>117600</v>
      </c>
      <c r="K380" s="37">
        <v>60000</v>
      </c>
      <c r="L380" s="129">
        <f t="shared" si="18"/>
        <v>1.96</v>
      </c>
      <c r="M380" s="142">
        <v>117600</v>
      </c>
    </row>
    <row r="381" spans="2:13" s="120" customFormat="1" ht="25.5">
      <c r="B381" s="157">
        <v>6</v>
      </c>
      <c r="C381" s="73" t="s">
        <v>581</v>
      </c>
      <c r="D381" s="37" t="s">
        <v>469</v>
      </c>
      <c r="E381" s="37">
        <v>250</v>
      </c>
      <c r="F381" s="129">
        <f t="shared" ref="F381" si="19">G381/E381</f>
        <v>221.94</v>
      </c>
      <c r="G381" s="142">
        <f>893974.32-590500.68-247989.64</f>
        <v>55484</v>
      </c>
      <c r="H381" s="37">
        <v>4028</v>
      </c>
      <c r="I381" s="129">
        <f t="shared" ref="I381" si="20">J381/H381</f>
        <v>221.94</v>
      </c>
      <c r="J381" s="142">
        <v>893974.32</v>
      </c>
      <c r="K381" s="37">
        <v>4028</v>
      </c>
      <c r="L381" s="129">
        <f t="shared" ref="L381" si="21">M381/K381</f>
        <v>221.94</v>
      </c>
      <c r="M381" s="142">
        <v>893974.32</v>
      </c>
    </row>
    <row r="382" spans="2:13" s="312" customFormat="1" ht="38.25">
      <c r="B382" s="313">
        <v>8</v>
      </c>
      <c r="C382" s="321" t="s">
        <v>582</v>
      </c>
      <c r="D382" s="323" t="s">
        <v>469</v>
      </c>
      <c r="E382" s="323">
        <v>191</v>
      </c>
      <c r="F382" s="324">
        <v>270</v>
      </c>
      <c r="G382" s="325">
        <v>51570</v>
      </c>
      <c r="H382" s="323">
        <v>191</v>
      </c>
      <c r="I382" s="324">
        <v>270</v>
      </c>
      <c r="J382" s="325">
        <v>51570</v>
      </c>
      <c r="K382" s="323">
        <v>191</v>
      </c>
      <c r="L382" s="324">
        <v>270</v>
      </c>
      <c r="M382" s="325">
        <v>51570</v>
      </c>
    </row>
    <row r="383" spans="2:13" ht="51">
      <c r="B383" s="57">
        <v>9</v>
      </c>
      <c r="C383" s="73" t="s">
        <v>583</v>
      </c>
      <c r="D383" s="37" t="s">
        <v>469</v>
      </c>
      <c r="E383" s="37">
        <v>1</v>
      </c>
      <c r="F383" s="129">
        <v>1159</v>
      </c>
      <c r="G383" s="142">
        <f>E383*F383</f>
        <v>1159</v>
      </c>
      <c r="H383" s="37">
        <v>0</v>
      </c>
      <c r="I383" s="129">
        <v>0</v>
      </c>
      <c r="J383" s="142">
        <f t="shared" ref="J383" si="22">H383*I383</f>
        <v>0</v>
      </c>
      <c r="K383" s="37">
        <v>0</v>
      </c>
      <c r="L383" s="129">
        <v>0</v>
      </c>
      <c r="M383" s="142">
        <f t="shared" ref="M383" si="23">K383*L383</f>
        <v>0</v>
      </c>
    </row>
    <row r="384" spans="2:13">
      <c r="B384" s="138"/>
      <c r="C384" s="128" t="s">
        <v>254</v>
      </c>
      <c r="D384" s="138" t="s">
        <v>25</v>
      </c>
      <c r="E384" s="37" t="s">
        <v>25</v>
      </c>
      <c r="F384" s="37" t="s">
        <v>25</v>
      </c>
      <c r="G384" s="142">
        <f>SUM(G373:G383)</f>
        <v>952152.01</v>
      </c>
      <c r="H384" s="37" t="s">
        <v>25</v>
      </c>
      <c r="I384" s="37" t="s">
        <v>25</v>
      </c>
      <c r="J384" s="142">
        <f>SUM(J373:J383)</f>
        <v>1842155.6</v>
      </c>
      <c r="K384" s="37" t="s">
        <v>25</v>
      </c>
      <c r="L384" s="37" t="s">
        <v>25</v>
      </c>
      <c r="M384" s="142">
        <f>SUM(M373:M383)</f>
        <v>1841967.57</v>
      </c>
    </row>
    <row r="386" spans="2:16" ht="18.75">
      <c r="E386" s="148"/>
      <c r="G386" s="148"/>
      <c r="H386" s="148"/>
      <c r="K386" s="148"/>
    </row>
    <row r="387" spans="2:16" ht="18.75">
      <c r="B387" s="1113" t="s">
        <v>470</v>
      </c>
      <c r="C387" s="1113"/>
      <c r="D387" s="1113"/>
      <c r="E387" s="1113"/>
      <c r="F387" s="1113"/>
      <c r="G387" s="1114" t="s">
        <v>308</v>
      </c>
      <c r="H387" s="1114"/>
      <c r="I387" s="1114"/>
      <c r="J387" s="150"/>
      <c r="K387" s="151"/>
      <c r="L387" s="150"/>
      <c r="M387" s="150"/>
    </row>
    <row r="388" spans="2:16">
      <c r="B388" s="1113"/>
      <c r="C388" s="1113"/>
      <c r="D388" s="1113"/>
      <c r="E388" s="1113"/>
      <c r="F388" s="1113"/>
      <c r="G388" s="149" t="s">
        <v>471</v>
      </c>
      <c r="H388" s="149" t="s">
        <v>472</v>
      </c>
      <c r="I388" s="149" t="s">
        <v>542</v>
      </c>
      <c r="J388" s="150"/>
      <c r="K388" s="150"/>
      <c r="L388" s="150"/>
      <c r="M388" s="150"/>
    </row>
    <row r="389" spans="2:16">
      <c r="B389" s="1115" t="s">
        <v>473</v>
      </c>
      <c r="C389" s="1115"/>
      <c r="D389" s="1115"/>
      <c r="E389" s="1115"/>
      <c r="F389" s="1115"/>
      <c r="G389" s="152" t="e">
        <f>#REF!+#REF!+#REF!+'Лист12(224,225,226,310,342-349'!G126+'Лист12(224,225,226,310,342-349'!G153+G290+G344+G364+#REF!+G301</f>
        <v>#REF!</v>
      </c>
      <c r="H389" s="153" t="e">
        <f>#REF!</f>
        <v>#REF!</v>
      </c>
      <c r="I389" s="153" t="e">
        <f>#REF!</f>
        <v>#REF!</v>
      </c>
      <c r="J389" s="150"/>
      <c r="K389" s="150"/>
      <c r="L389" s="150"/>
      <c r="M389" s="150"/>
      <c r="P389" s="150" t="s">
        <v>474</v>
      </c>
    </row>
    <row r="390" spans="2:16">
      <c r="B390" s="1116" t="s">
        <v>475</v>
      </c>
      <c r="C390" s="1117"/>
      <c r="D390" s="1117"/>
      <c r="E390" s="1117"/>
      <c r="F390" s="1118"/>
      <c r="G390" s="15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G267</f>
        <v>#REF!</v>
      </c>
      <c r="H390" s="153"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c r="I390" s="153" t="e">
        <f>#REF!+#REF!+#REF!+#REF!+#REF!+#REF!+#REF!+'Лист10(213,221-223,266,291-297)'!N13+'Лист10(213,221-223,266,291-297)'!N44+'Лист10(213,221-223,266,291-297)'!O89+'Лист10(213,221-223,266,291-297)'!N120+'Лист10(213,221-223,266,291-297)'!N144+'Лист10(213,221-223,266,291-297)'!N160+'Лист11(225)'!N19+'Лист11(225)'!O35+'Лист11(225)'!O64+'Лист12(224,225,226,310,342-349'!O36+'Лист12(224,225,226,310,342-349'!M70+'Лист12(224,225,226,310,342-349'!M80+'Лист12(224,225,226,310,342-349'!M256</f>
        <v>#REF!</v>
      </c>
      <c r="J390" s="150"/>
      <c r="K390" s="150"/>
      <c r="L390" s="150"/>
      <c r="M390" s="150"/>
    </row>
    <row r="391" spans="2:16">
      <c r="B391" s="1119" t="s">
        <v>476</v>
      </c>
      <c r="C391" s="1120"/>
      <c r="D391" s="1120"/>
      <c r="E391" s="1120"/>
      <c r="F391" s="1121"/>
      <c r="G391" s="154" t="e">
        <f>#REF!+#REF!+'Лист6(211,212,226,266)'!F9+'Лист6(211,212,226,266)'!F22+'Лист6(211,212,226,266)'!F46+#REF!+#REF!+#REF!+'Лист10(213,221-223,266,291-297)'!F57+'Лист10(213,221-223,266,291-297)'!G108+'Лист10(213,221-223,266,291-297)'!F130+'Лист10(213,221-223,266,291-297)'!F172+'Лист10(213,221-223,266,291-297)'!F188+'Лист11(225)'!G47+'Лист11(225)'!G79+'Лист12(224,225,226,310,342-349'!F14+G46+G90+'Лист12(224,225,226,310,342-349'!G116+'Лист12(224,225,226,310,342-349'!G384</f>
        <v>#REF!</v>
      </c>
      <c r="H391" s="153" t="e">
        <f>#REF!+#REF!+'Лист6(211,212,226,266)'!J9+'Лист6(211,212,226,266)'!J22+'Лист6(211,212,226,266)'!J46+#REF!+#REF!+#REF!+'Лист10(213,221-223,266,291-297)'!J57+'Лист10(213,221-223,266,291-297)'!K108+'Лист10(213,221-223,266,291-297)'!J130+'Лист10(213,221-223,266,291-297)'!J172+'Лист10(213,221-223,266,291-297)'!J188+'Лист11(225)'!K47+'Лист11(225)'!K79+'Лист12(224,225,226,310,342-349'!I14+K46+J90+'Лист12(224,225,226,310,342-349'!J116+'Лист12(224,225,226,310,342-349'!J384</f>
        <v>#REF!</v>
      </c>
      <c r="I391" s="153" t="e">
        <f>#REF!+#REF!+'Лист6(211,212,226,266)'!N9+'Лист6(211,212,226,266)'!N22+'Лист6(211,212,226,266)'!N46+#REF!+#REF!+#REF!+'Лист10(213,221-223,266,291-297)'!N57+'Лист10(213,221-223,266,291-297)'!O108+'Лист10(213,221-223,266,291-297)'!N130+'Лист10(213,221-223,266,291-297)'!N172+'Лист10(213,221-223,266,291-297)'!N188+'Лист11(225)'!O47+'Лист11(225)'!O79+'Лист12(224,225,226,310,342-349'!L14+O46+M90+'Лист12(224,225,226,310,342-349'!M116+'Лист12(224,225,226,310,342-349'!M384</f>
        <v>#REF!</v>
      </c>
      <c r="J391" s="150"/>
      <c r="K391" s="150"/>
      <c r="L391" s="150"/>
      <c r="M391" s="150"/>
    </row>
    <row r="392" spans="2:16">
      <c r="B392" s="1122" t="s">
        <v>254</v>
      </c>
      <c r="C392" s="1123"/>
      <c r="D392" s="1123"/>
      <c r="E392" s="1123"/>
      <c r="F392" s="1124"/>
      <c r="G392" s="155" t="e">
        <f>SUM(G389:G391)</f>
        <v>#REF!</v>
      </c>
      <c r="H392" s="155" t="e">
        <f>SUM(H389:H391)</f>
        <v>#REF!</v>
      </c>
      <c r="I392" s="155" t="e">
        <f>SUM(I389:I391)</f>
        <v>#REF!</v>
      </c>
      <c r="J392" s="150"/>
      <c r="K392" s="150"/>
      <c r="L392" s="150"/>
      <c r="M392" s="150"/>
    </row>
    <row r="393" spans="2:16">
      <c r="G393" s="132"/>
      <c r="H393" s="132"/>
      <c r="I393" s="132"/>
    </row>
    <row r="394" spans="2:16" ht="18.75">
      <c r="E394" s="148" t="s">
        <v>103</v>
      </c>
      <c r="G394" s="133"/>
      <c r="H394" s="156"/>
      <c r="K394" s="148" t="s">
        <v>557</v>
      </c>
    </row>
    <row r="396" spans="2:16">
      <c r="G396" s="38">
        <v>11490000</v>
      </c>
      <c r="H396" s="38">
        <v>11490000</v>
      </c>
      <c r="I396" s="38">
        <v>11490000</v>
      </c>
    </row>
    <row r="397" spans="2:16">
      <c r="G397" s="38" t="e">
        <f>G396-G391</f>
        <v>#REF!</v>
      </c>
      <c r="H397" s="38" t="e">
        <f t="shared" ref="H397:I397" si="24">H396-H391</f>
        <v>#REF!</v>
      </c>
      <c r="I397" s="38" t="e">
        <f t="shared" si="24"/>
        <v>#REF!</v>
      </c>
    </row>
    <row r="398" spans="2:16">
      <c r="G398" s="161">
        <f>G396+192442.91</f>
        <v>11682442.91</v>
      </c>
    </row>
    <row r="399" spans="2:16">
      <c r="G399" s="38" t="e">
        <f>G391-G398</f>
        <v>#REF!</v>
      </c>
    </row>
    <row r="401" spans="1:29">
      <c r="F401" s="29" t="s">
        <v>545</v>
      </c>
      <c r="G401" s="38">
        <v>61100227.68</v>
      </c>
    </row>
    <row r="402" spans="1:29">
      <c r="F402" s="29" t="s">
        <v>543</v>
      </c>
      <c r="G402" s="38">
        <v>12571648.619999999</v>
      </c>
    </row>
    <row r="403" spans="1:29">
      <c r="F403" s="29" t="s">
        <v>544</v>
      </c>
      <c r="G403" s="38">
        <v>-43.69</v>
      </c>
    </row>
    <row r="404" spans="1:29">
      <c r="G404" s="38">
        <f>G401+G402+G403</f>
        <v>73671832.609999999</v>
      </c>
      <c r="R404" s="1107" t="s">
        <v>593</v>
      </c>
      <c r="S404" s="1107"/>
      <c r="T404" s="1107"/>
      <c r="U404" s="1107"/>
      <c r="V404" s="1107"/>
      <c r="W404" s="1107"/>
      <c r="X404" s="1107"/>
      <c r="Y404" s="1107"/>
      <c r="Z404" s="1107"/>
      <c r="AA404" s="1107"/>
      <c r="AB404" s="1107"/>
      <c r="AC404" s="1107"/>
    </row>
    <row r="405" spans="1:29">
      <c r="G405" s="38" t="e">
        <f>G404-G390</f>
        <v>#REF!</v>
      </c>
      <c r="R405" s="1107"/>
      <c r="S405" s="1107"/>
      <c r="T405" s="1107"/>
      <c r="U405" s="1107"/>
      <c r="V405" s="1107"/>
      <c r="W405" s="1107"/>
      <c r="X405" s="1107"/>
      <c r="Y405" s="1107"/>
      <c r="Z405" s="1107"/>
      <c r="AA405" s="1107"/>
      <c r="AB405" s="1107"/>
      <c r="AC405" s="1107"/>
    </row>
    <row r="406" spans="1:29">
      <c r="D406" s="38">
        <f>F408+F416+F413+F415+F412</f>
        <v>1499293.9</v>
      </c>
      <c r="R406" s="1107"/>
      <c r="S406" s="1107"/>
      <c r="T406" s="1107"/>
      <c r="U406" s="1107"/>
      <c r="V406" s="1107"/>
      <c r="W406" s="1107"/>
      <c r="X406" s="1107"/>
      <c r="Y406" s="1107"/>
      <c r="Z406" s="1107"/>
      <c r="AA406" s="1107"/>
      <c r="AB406" s="1107"/>
      <c r="AC406" s="1107"/>
    </row>
    <row r="407" spans="1:29" ht="23.25">
      <c r="F407" s="8" t="s">
        <v>572</v>
      </c>
      <c r="G407" s="29" t="s">
        <v>568</v>
      </c>
      <c r="H407" s="138" t="s">
        <v>569</v>
      </c>
      <c r="I407" s="29">
        <v>2023</v>
      </c>
      <c r="J407" s="29">
        <v>2024</v>
      </c>
      <c r="U407" s="1108">
        <v>2022</v>
      </c>
      <c r="V407" s="1109"/>
      <c r="W407" s="1110"/>
      <c r="X407" s="1108">
        <v>2023</v>
      </c>
      <c r="Y407" s="1109"/>
      <c r="Z407" s="1110"/>
      <c r="AA407" s="1108">
        <v>2024</v>
      </c>
      <c r="AB407" s="1109"/>
      <c r="AC407" s="1110"/>
    </row>
    <row r="408" spans="1:29">
      <c r="A408" s="120" t="s">
        <v>587</v>
      </c>
      <c r="B408" s="29" t="s">
        <v>32</v>
      </c>
      <c r="C408" s="29" t="s">
        <v>546</v>
      </c>
      <c r="D408" s="29" t="s">
        <v>547</v>
      </c>
      <c r="E408" s="29" t="s">
        <v>33</v>
      </c>
      <c r="F408" s="283">
        <f>16000+6000+10000+20000+5000</f>
        <v>57000</v>
      </c>
      <c r="G408" s="29" t="e">
        <f>#REF!+#REF!+#REF!+#REF!+#REF!+#REF!+#REF!</f>
        <v>#REF!</v>
      </c>
      <c r="H408" s="343" t="e">
        <f>F408-G408</f>
        <v>#REF!</v>
      </c>
      <c r="I408" s="38"/>
      <c r="J408" s="38"/>
      <c r="P408" s="374" t="s">
        <v>587</v>
      </c>
      <c r="Q408" s="374" t="s">
        <v>32</v>
      </c>
      <c r="R408" s="374" t="s">
        <v>546</v>
      </c>
      <c r="S408" s="374" t="s">
        <v>547</v>
      </c>
      <c r="T408" s="374" t="s">
        <v>33</v>
      </c>
      <c r="U408" s="386">
        <f>V408+W408</f>
        <v>58000</v>
      </c>
      <c r="V408" s="387">
        <v>57000</v>
      </c>
      <c r="W408" s="388">
        <f>F446</f>
        <v>1000</v>
      </c>
      <c r="X408" s="386">
        <f>Y408+Z408</f>
        <v>62000</v>
      </c>
      <c r="Y408" s="387">
        <f>13000+4000+20000+20000+5000</f>
        <v>62000</v>
      </c>
      <c r="Z408" s="388"/>
      <c r="AA408" s="386">
        <f>AB408+AC408</f>
        <v>37000</v>
      </c>
      <c r="AB408" s="387">
        <f>8000+4000+20000+5000</f>
        <v>37000</v>
      </c>
      <c r="AC408" s="388"/>
    </row>
    <row r="409" spans="1:29">
      <c r="A409" s="120" t="s">
        <v>588</v>
      </c>
      <c r="B409" s="29" t="s">
        <v>32</v>
      </c>
      <c r="C409" s="29" t="s">
        <v>548</v>
      </c>
      <c r="D409" s="29" t="s">
        <v>547</v>
      </c>
      <c r="E409" s="29" t="s">
        <v>33</v>
      </c>
      <c r="F409" s="379">
        <f>V455</f>
        <v>33377286.77</v>
      </c>
      <c r="G409" s="378" t="e">
        <f>#REF!</f>
        <v>#REF!</v>
      </c>
      <c r="H409" s="380" t="e">
        <f>F409-G409</f>
        <v>#REF!</v>
      </c>
      <c r="I409" s="38"/>
      <c r="J409" s="38"/>
      <c r="P409" s="374" t="s">
        <v>588</v>
      </c>
      <c r="Q409" s="374" t="s">
        <v>32</v>
      </c>
      <c r="R409" s="374" t="s">
        <v>548</v>
      </c>
      <c r="S409" s="374" t="s">
        <v>547</v>
      </c>
      <c r="T409" s="374" t="s">
        <v>33</v>
      </c>
      <c r="U409" s="386">
        <f t="shared" ref="U409:U440" si="25">V409+W409</f>
        <v>45291107.280000001</v>
      </c>
      <c r="V409" s="387">
        <v>40764980.369999997</v>
      </c>
      <c r="W409" s="388">
        <f>F447</f>
        <v>4526126.91</v>
      </c>
      <c r="X409" s="386">
        <f t="shared" ref="X409:X440" si="26">Y409+Z409</f>
        <v>45291107.280000001</v>
      </c>
      <c r="Y409" s="387">
        <v>40398633.810000002</v>
      </c>
      <c r="Z409" s="388">
        <v>4892473.47</v>
      </c>
      <c r="AA409" s="386">
        <f t="shared" ref="AA409:AA439" si="27">AB409+AC409</f>
        <v>45291107.280000001</v>
      </c>
      <c r="AB409" s="387">
        <v>40434215.560000002</v>
      </c>
      <c r="AC409" s="388">
        <v>4856891.72</v>
      </c>
    </row>
    <row r="410" spans="1:29">
      <c r="B410" s="29" t="s">
        <v>32</v>
      </c>
      <c r="C410" s="29" t="s">
        <v>549</v>
      </c>
      <c r="D410" s="29" t="s">
        <v>547</v>
      </c>
      <c r="E410" s="29" t="s">
        <v>33</v>
      </c>
      <c r="F410" s="379">
        <v>0</v>
      </c>
      <c r="G410" s="378">
        <v>0</v>
      </c>
      <c r="H410" s="381">
        <f t="shared" ref="H410:H437" si="28">F410-G410</f>
        <v>0</v>
      </c>
      <c r="I410" s="38"/>
      <c r="J410" s="38"/>
      <c r="P410" s="374"/>
      <c r="Q410" s="374" t="s">
        <v>32</v>
      </c>
      <c r="R410" s="374" t="s">
        <v>549</v>
      </c>
      <c r="S410" s="374" t="s">
        <v>547</v>
      </c>
      <c r="T410" s="374" t="s">
        <v>33</v>
      </c>
      <c r="U410" s="386">
        <f t="shared" si="25"/>
        <v>0</v>
      </c>
      <c r="V410" s="387">
        <v>0</v>
      </c>
      <c r="W410" s="388"/>
      <c r="X410" s="386">
        <f t="shared" si="26"/>
        <v>0</v>
      </c>
      <c r="Y410" s="387"/>
      <c r="Z410" s="388"/>
      <c r="AA410" s="386">
        <f t="shared" si="27"/>
        <v>0</v>
      </c>
      <c r="AB410" s="387"/>
      <c r="AC410" s="388"/>
    </row>
    <row r="411" spans="1:29">
      <c r="B411" s="29" t="s">
        <v>32</v>
      </c>
      <c r="C411" s="29" t="s">
        <v>550</v>
      </c>
      <c r="D411" s="29" t="s">
        <v>547</v>
      </c>
      <c r="E411" s="29" t="s">
        <v>33</v>
      </c>
      <c r="F411" s="379">
        <v>0</v>
      </c>
      <c r="G411" s="378">
        <v>0</v>
      </c>
      <c r="H411" s="382">
        <f t="shared" si="28"/>
        <v>0</v>
      </c>
      <c r="I411" s="38"/>
      <c r="J411" s="38"/>
      <c r="P411" s="374"/>
      <c r="Q411" s="374" t="s">
        <v>32</v>
      </c>
      <c r="R411" s="374" t="s">
        <v>550</v>
      </c>
      <c r="S411" s="374" t="s">
        <v>547</v>
      </c>
      <c r="T411" s="374" t="s">
        <v>33</v>
      </c>
      <c r="U411" s="386">
        <f t="shared" si="25"/>
        <v>0</v>
      </c>
      <c r="V411" s="387">
        <v>0</v>
      </c>
      <c r="W411" s="388"/>
      <c r="X411" s="386">
        <f t="shared" si="26"/>
        <v>0</v>
      </c>
      <c r="Y411" s="387"/>
      <c r="Z411" s="388"/>
      <c r="AA411" s="386">
        <f t="shared" si="27"/>
        <v>0</v>
      </c>
      <c r="AB411" s="387"/>
      <c r="AC411" s="388"/>
    </row>
    <row r="412" spans="1:29">
      <c r="A412" s="120" t="s">
        <v>591</v>
      </c>
      <c r="B412" s="29" t="s">
        <v>32</v>
      </c>
      <c r="C412" s="29" t="s">
        <v>546</v>
      </c>
      <c r="D412" s="29" t="s">
        <v>547</v>
      </c>
      <c r="E412" s="29" t="s">
        <v>34</v>
      </c>
      <c r="F412" s="283">
        <f>V458</f>
        <v>414998.65</v>
      </c>
      <c r="G412" s="38" t="e">
        <f>#REF!+#REF!+#REF!</f>
        <v>#REF!</v>
      </c>
      <c r="H412" s="344" t="e">
        <f t="shared" si="28"/>
        <v>#REF!</v>
      </c>
      <c r="I412" s="38"/>
      <c r="J412" s="38"/>
      <c r="P412" s="374" t="s">
        <v>591</v>
      </c>
      <c r="Q412" s="374" t="s">
        <v>32</v>
      </c>
      <c r="R412" s="374" t="s">
        <v>546</v>
      </c>
      <c r="S412" s="374" t="s">
        <v>547</v>
      </c>
      <c r="T412" s="374" t="s">
        <v>34</v>
      </c>
      <c r="U412" s="386">
        <f t="shared" si="25"/>
        <v>364367.34</v>
      </c>
      <c r="V412" s="387">
        <v>364367.34</v>
      </c>
      <c r="W412" s="388"/>
      <c r="X412" s="386">
        <f t="shared" si="26"/>
        <v>166085.82999999999</v>
      </c>
      <c r="Y412" s="387">
        <f>55386.41+110699.42</f>
        <v>166085.82999999999</v>
      </c>
      <c r="Z412" s="388">
        <v>0</v>
      </c>
      <c r="AA412" s="386">
        <f t="shared" si="27"/>
        <v>0</v>
      </c>
      <c r="AB412" s="387">
        <v>0</v>
      </c>
      <c r="AC412" s="388">
        <v>0</v>
      </c>
    </row>
    <row r="413" spans="1:29" s="319" customFormat="1">
      <c r="B413" s="319" t="s">
        <v>35</v>
      </c>
      <c r="C413" s="319" t="s">
        <v>546</v>
      </c>
      <c r="D413" s="319" t="s">
        <v>547</v>
      </c>
      <c r="E413" s="319" t="s">
        <v>36</v>
      </c>
      <c r="F413" s="283">
        <f>V459</f>
        <v>1000000</v>
      </c>
      <c r="G413" s="283" t="e">
        <f>#REF!</f>
        <v>#REF!</v>
      </c>
      <c r="H413" s="346" t="e">
        <f t="shared" si="28"/>
        <v>#REF!</v>
      </c>
      <c r="I413" s="283" t="e">
        <f>#REF!</f>
        <v>#REF!</v>
      </c>
      <c r="J413" s="283" t="e">
        <f>#REF!</f>
        <v>#REF!</v>
      </c>
      <c r="P413" s="374"/>
      <c r="Q413" s="374" t="s">
        <v>35</v>
      </c>
      <c r="R413" s="374" t="s">
        <v>546</v>
      </c>
      <c r="S413" s="374" t="s">
        <v>547</v>
      </c>
      <c r="T413" s="374" t="s">
        <v>36</v>
      </c>
      <c r="U413" s="386">
        <f t="shared" si="25"/>
        <v>1100000</v>
      </c>
      <c r="V413" s="387">
        <v>1000000</v>
      </c>
      <c r="W413" s="388">
        <f>F451</f>
        <v>100000</v>
      </c>
      <c r="X413" s="386">
        <f t="shared" si="26"/>
        <v>1020000</v>
      </c>
      <c r="Y413" s="387">
        <v>960000</v>
      </c>
      <c r="Z413" s="388">
        <v>60000</v>
      </c>
      <c r="AA413" s="386">
        <f t="shared" si="27"/>
        <v>1100000</v>
      </c>
      <c r="AB413" s="387">
        <f>400000+599200</f>
        <v>999200</v>
      </c>
      <c r="AC413" s="388">
        <v>100800</v>
      </c>
    </row>
    <row r="414" spans="1:29">
      <c r="B414" s="29" t="s">
        <v>35</v>
      </c>
      <c r="C414" s="29" t="s">
        <v>546</v>
      </c>
      <c r="D414" s="29" t="s">
        <v>547</v>
      </c>
      <c r="E414" s="29" t="s">
        <v>37</v>
      </c>
      <c r="F414" s="283">
        <v>0</v>
      </c>
      <c r="G414" s="38">
        <f>'Лист6(211,212,226,266)'!E55</f>
        <v>6734</v>
      </c>
      <c r="H414" s="343">
        <f t="shared" si="28"/>
        <v>-6734</v>
      </c>
      <c r="I414" s="38"/>
      <c r="J414" s="38"/>
      <c r="P414" s="374"/>
      <c r="Q414" s="374" t="s">
        <v>35</v>
      </c>
      <c r="R414" s="374" t="s">
        <v>546</v>
      </c>
      <c r="S414" s="374" t="s">
        <v>547</v>
      </c>
      <c r="T414" s="374" t="s">
        <v>37</v>
      </c>
      <c r="U414" s="386">
        <f t="shared" si="25"/>
        <v>0</v>
      </c>
      <c r="V414" s="387">
        <v>0</v>
      </c>
      <c r="W414" s="388"/>
      <c r="X414" s="386">
        <f t="shared" si="26"/>
        <v>0</v>
      </c>
      <c r="Y414" s="387"/>
      <c r="Z414" s="388"/>
      <c r="AA414" s="386">
        <f t="shared" si="27"/>
        <v>0</v>
      </c>
      <c r="AB414" s="387"/>
      <c r="AC414" s="388"/>
    </row>
    <row r="415" spans="1:29">
      <c r="A415" s="120" t="s">
        <v>592</v>
      </c>
      <c r="B415" s="29" t="s">
        <v>35</v>
      </c>
      <c r="C415" s="29" t="s">
        <v>546</v>
      </c>
      <c r="D415" s="29" t="s">
        <v>547</v>
      </c>
      <c r="E415" s="29" t="s">
        <v>34</v>
      </c>
      <c r="F415" s="283">
        <f>1020+595</f>
        <v>1615</v>
      </c>
      <c r="G415" s="38" t="e">
        <f>#REF!</f>
        <v>#REF!</v>
      </c>
      <c r="H415" s="343" t="e">
        <f t="shared" si="28"/>
        <v>#REF!</v>
      </c>
      <c r="I415" s="38"/>
      <c r="J415" s="38"/>
      <c r="P415" s="374" t="s">
        <v>592</v>
      </c>
      <c r="Q415" s="374" t="s">
        <v>35</v>
      </c>
      <c r="R415" s="374" t="s">
        <v>546</v>
      </c>
      <c r="S415" s="374" t="s">
        <v>547</v>
      </c>
      <c r="T415" s="374" t="s">
        <v>34</v>
      </c>
      <c r="U415" s="386">
        <f t="shared" si="25"/>
        <v>2040</v>
      </c>
      <c r="V415" s="387">
        <v>1615</v>
      </c>
      <c r="W415" s="388">
        <f>F453</f>
        <v>425</v>
      </c>
      <c r="X415" s="386">
        <f t="shared" si="26"/>
        <v>510</v>
      </c>
      <c r="Y415" s="387">
        <v>510</v>
      </c>
      <c r="Z415" s="388">
        <v>0</v>
      </c>
      <c r="AA415" s="386">
        <f t="shared" si="27"/>
        <v>0</v>
      </c>
      <c r="AB415" s="387">
        <v>0</v>
      </c>
      <c r="AC415" s="388">
        <v>0</v>
      </c>
    </row>
    <row r="416" spans="1:29">
      <c r="B416" s="29" t="s">
        <v>38</v>
      </c>
      <c r="C416" s="29" t="s">
        <v>546</v>
      </c>
      <c r="D416" s="29" t="s">
        <v>547</v>
      </c>
      <c r="E416" s="29" t="s">
        <v>39</v>
      </c>
      <c r="F416" s="283">
        <f>3020+6040+1510+15110.25+94928.69-94928.69</f>
        <v>25680.25</v>
      </c>
      <c r="G416" s="38">
        <f>'Лист10(213,221-223,266,291-297)'!F9+'Лист10(213,221-223,266,291-297)'!F10+'Лист10(213,221-223,266,291-297)'!F11</f>
        <v>10570</v>
      </c>
      <c r="H416" s="343">
        <f t="shared" si="28"/>
        <v>15110.25</v>
      </c>
      <c r="I416" s="38"/>
      <c r="J416" s="38"/>
      <c r="P416" s="374"/>
      <c r="Q416" s="374" t="s">
        <v>38</v>
      </c>
      <c r="R416" s="374" t="s">
        <v>546</v>
      </c>
      <c r="S416" s="374" t="s">
        <v>547</v>
      </c>
      <c r="T416" s="374" t="s">
        <v>39</v>
      </c>
      <c r="U416" s="386">
        <f t="shared" si="25"/>
        <v>25680.25</v>
      </c>
      <c r="V416" s="387">
        <v>25680.25</v>
      </c>
      <c r="W416" s="388"/>
      <c r="X416" s="386">
        <f t="shared" si="26"/>
        <v>13590</v>
      </c>
      <c r="Y416" s="387">
        <f>6040+6040+1510</f>
        <v>13590</v>
      </c>
      <c r="Z416" s="388"/>
      <c r="AA416" s="386">
        <f t="shared" si="27"/>
        <v>7550</v>
      </c>
      <c r="AB416" s="387">
        <f>1510+6040</f>
        <v>7550</v>
      </c>
      <c r="AC416" s="388"/>
    </row>
    <row r="417" spans="1:29">
      <c r="B417" s="29" t="s">
        <v>38</v>
      </c>
      <c r="C417" s="29" t="s">
        <v>548</v>
      </c>
      <c r="D417" s="29" t="s">
        <v>547</v>
      </c>
      <c r="E417" s="29" t="s">
        <v>39</v>
      </c>
      <c r="F417" s="283">
        <f>V463</f>
        <v>9836475.4100000001</v>
      </c>
      <c r="G417" s="1111" t="e">
        <f>#REF!</f>
        <v>#REF!</v>
      </c>
      <c r="H417" s="1112" t="e">
        <f t="shared" si="28"/>
        <v>#REF!</v>
      </c>
      <c r="I417" s="38"/>
      <c r="J417" s="38"/>
      <c r="P417" s="374"/>
      <c r="Q417" s="374" t="s">
        <v>38</v>
      </c>
      <c r="R417" s="374" t="s">
        <v>548</v>
      </c>
      <c r="S417" s="374" t="s">
        <v>547</v>
      </c>
      <c r="T417" s="374" t="s">
        <v>39</v>
      </c>
      <c r="U417" s="386">
        <f t="shared" si="25"/>
        <v>13500006.66</v>
      </c>
      <c r="V417" s="387">
        <v>12022937.09</v>
      </c>
      <c r="W417" s="388">
        <f>F454</f>
        <v>1477069.57</v>
      </c>
      <c r="X417" s="386">
        <f t="shared" si="26"/>
        <v>13500006.66</v>
      </c>
      <c r="Y417" s="387">
        <v>12028573.960000001</v>
      </c>
      <c r="Z417" s="388">
        <v>1471432.7</v>
      </c>
      <c r="AA417" s="386">
        <f t="shared" si="27"/>
        <v>13500006.66</v>
      </c>
      <c r="AB417" s="387">
        <v>12039319.630000001</v>
      </c>
      <c r="AC417" s="388">
        <v>1460687.03</v>
      </c>
    </row>
    <row r="418" spans="1:29">
      <c r="B418" s="29" t="s">
        <v>38</v>
      </c>
      <c r="C418" s="29" t="s">
        <v>549</v>
      </c>
      <c r="D418" s="29" t="s">
        <v>547</v>
      </c>
      <c r="E418" s="29" t="s">
        <v>39</v>
      </c>
      <c r="F418" s="283">
        <v>0</v>
      </c>
      <c r="G418" s="1111"/>
      <c r="H418" s="1112">
        <f t="shared" si="28"/>
        <v>0</v>
      </c>
      <c r="I418" s="38"/>
      <c r="J418" s="38"/>
      <c r="P418" s="374"/>
      <c r="Q418" s="374" t="s">
        <v>38</v>
      </c>
      <c r="R418" s="374" t="s">
        <v>549</v>
      </c>
      <c r="S418" s="374" t="s">
        <v>547</v>
      </c>
      <c r="T418" s="374" t="s">
        <v>39</v>
      </c>
      <c r="U418" s="386">
        <f t="shared" si="25"/>
        <v>0</v>
      </c>
      <c r="V418" s="387">
        <v>0</v>
      </c>
      <c r="W418" s="388"/>
      <c r="X418" s="386">
        <f t="shared" si="26"/>
        <v>0</v>
      </c>
      <c r="Y418" s="387"/>
      <c r="Z418" s="388"/>
      <c r="AA418" s="386">
        <f t="shared" si="27"/>
        <v>0</v>
      </c>
      <c r="AB418" s="387"/>
      <c r="AC418" s="388"/>
    </row>
    <row r="419" spans="1:29">
      <c r="B419" s="29" t="s">
        <v>38</v>
      </c>
      <c r="C419" s="29" t="s">
        <v>550</v>
      </c>
      <c r="D419" s="29" t="s">
        <v>547</v>
      </c>
      <c r="E419" s="29" t="s">
        <v>39</v>
      </c>
      <c r="F419" s="283">
        <v>0</v>
      </c>
      <c r="G419" s="1111"/>
      <c r="H419" s="1112">
        <f t="shared" si="28"/>
        <v>0</v>
      </c>
      <c r="I419" s="38"/>
      <c r="J419" s="38"/>
      <c r="P419" s="374"/>
      <c r="Q419" s="374" t="s">
        <v>38</v>
      </c>
      <c r="R419" s="374" t="s">
        <v>550</v>
      </c>
      <c r="S419" s="374" t="s">
        <v>547</v>
      </c>
      <c r="T419" s="374" t="s">
        <v>39</v>
      </c>
      <c r="U419" s="386">
        <f t="shared" si="25"/>
        <v>0</v>
      </c>
      <c r="V419" s="387">
        <v>0</v>
      </c>
      <c r="W419" s="388"/>
      <c r="X419" s="386">
        <f t="shared" si="26"/>
        <v>0</v>
      </c>
      <c r="Y419" s="387"/>
      <c r="Z419" s="388"/>
      <c r="AA419" s="386">
        <f t="shared" si="27"/>
        <v>0</v>
      </c>
      <c r="AB419" s="387"/>
      <c r="AC419" s="388"/>
    </row>
    <row r="420" spans="1:29">
      <c r="B420" s="29" t="s">
        <v>38</v>
      </c>
      <c r="C420" s="29" t="s">
        <v>546</v>
      </c>
      <c r="D420" s="29" t="s">
        <v>547</v>
      </c>
      <c r="E420" s="29" t="s">
        <v>34</v>
      </c>
      <c r="F420" s="283">
        <v>94928.69</v>
      </c>
      <c r="G420" s="38" t="e">
        <f>'Лист10(213,221-223,266,291-297)'!F12+#REF!</f>
        <v>#REF!</v>
      </c>
      <c r="H420" s="345" t="e">
        <f t="shared" si="28"/>
        <v>#REF!</v>
      </c>
      <c r="I420" s="38"/>
      <c r="J420" s="38"/>
      <c r="P420" s="374"/>
      <c r="Q420" s="374" t="s">
        <v>38</v>
      </c>
      <c r="R420" s="374" t="s">
        <v>546</v>
      </c>
      <c r="S420" s="374" t="s">
        <v>547</v>
      </c>
      <c r="T420" s="374" t="s">
        <v>34</v>
      </c>
      <c r="U420" s="386">
        <f t="shared" si="25"/>
        <v>94928.69</v>
      </c>
      <c r="V420" s="387">
        <v>94928.69</v>
      </c>
      <c r="W420" s="388"/>
      <c r="X420" s="386">
        <f t="shared" si="26"/>
        <v>40157.919999999998</v>
      </c>
      <c r="Y420" s="387">
        <f>6726.7+33431.22</f>
        <v>40157.919999999998</v>
      </c>
      <c r="Z420" s="388"/>
      <c r="AA420" s="386">
        <f t="shared" si="27"/>
        <v>0</v>
      </c>
      <c r="AB420" s="387"/>
      <c r="AC420" s="388"/>
    </row>
    <row r="421" spans="1:29" s="311" customFormat="1">
      <c r="B421" s="319" t="s">
        <v>42</v>
      </c>
      <c r="C421" s="319" t="s">
        <v>546</v>
      </c>
      <c r="D421" s="319" t="s">
        <v>547</v>
      </c>
      <c r="E421" s="319" t="s">
        <v>43</v>
      </c>
      <c r="F421" s="283">
        <v>212942.38</v>
      </c>
      <c r="G421" s="283">
        <f>'Лист10(213,221-223,266,291-297)'!G89</f>
        <v>212942.4</v>
      </c>
      <c r="H421" s="346">
        <f t="shared" si="28"/>
        <v>-0.02</v>
      </c>
      <c r="I421" s="283">
        <f>'Лист10(213,221-223,266,291-297)'!K89</f>
        <v>218702.4</v>
      </c>
      <c r="J421" s="283">
        <f>'Лист10(213,221-223,266,291-297)'!O89</f>
        <v>225038.4</v>
      </c>
      <c r="P421" s="374"/>
      <c r="Q421" s="374" t="s">
        <v>42</v>
      </c>
      <c r="R421" s="374" t="s">
        <v>546</v>
      </c>
      <c r="S421" s="374" t="s">
        <v>547</v>
      </c>
      <c r="T421" s="374" t="s">
        <v>43</v>
      </c>
      <c r="U421" s="386">
        <f t="shared" si="25"/>
        <v>212942.38</v>
      </c>
      <c r="V421" s="387">
        <v>212942.38</v>
      </c>
      <c r="W421" s="388">
        <v>0</v>
      </c>
      <c r="X421" s="386">
        <f t="shared" si="26"/>
        <v>218702.4</v>
      </c>
      <c r="Y421" s="387">
        <v>218702.4</v>
      </c>
      <c r="Z421" s="388">
        <v>0</v>
      </c>
      <c r="AA421" s="386">
        <f t="shared" si="27"/>
        <v>225038.4</v>
      </c>
      <c r="AB421" s="387">
        <v>225038.4</v>
      </c>
      <c r="AC421" s="388">
        <v>0</v>
      </c>
    </row>
    <row r="422" spans="1:29">
      <c r="B422" s="319" t="s">
        <v>42</v>
      </c>
      <c r="C422" s="319" t="s">
        <v>546</v>
      </c>
      <c r="D422" s="319" t="s">
        <v>547</v>
      </c>
      <c r="E422" s="319" t="s">
        <v>44</v>
      </c>
      <c r="F422" s="283">
        <f>111407.4+129902.15</f>
        <v>241309.55</v>
      </c>
      <c r="G422" s="283">
        <f>'Лист10(213,221-223,266,291-297)'!F120</f>
        <v>241309.55</v>
      </c>
      <c r="H422" s="346">
        <f t="shared" si="28"/>
        <v>0</v>
      </c>
      <c r="I422" s="283">
        <f>'Лист10(213,221-223,266,291-297)'!J120</f>
        <v>183575.26</v>
      </c>
      <c r="J422" s="283">
        <f>'Лист10(213,221-223,266,291-297)'!N120</f>
        <v>183575.26</v>
      </c>
      <c r="P422" s="374"/>
      <c r="Q422" s="374" t="s">
        <v>42</v>
      </c>
      <c r="R422" s="374" t="s">
        <v>546</v>
      </c>
      <c r="S422" s="374" t="s">
        <v>547</v>
      </c>
      <c r="T422" s="374" t="s">
        <v>44</v>
      </c>
      <c r="U422" s="386">
        <f t="shared" si="25"/>
        <v>407945.02</v>
      </c>
      <c r="V422" s="387">
        <v>241309.55</v>
      </c>
      <c r="W422" s="388">
        <f>F460</f>
        <v>166635.47</v>
      </c>
      <c r="X422" s="386">
        <f t="shared" si="26"/>
        <v>407945.02</v>
      </c>
      <c r="Y422" s="387">
        <f>72167.86+111407.4</f>
        <v>183575.26</v>
      </c>
      <c r="Z422" s="388">
        <f>136164.6+88205.16</f>
        <v>224369.76</v>
      </c>
      <c r="AA422" s="386">
        <f t="shared" si="27"/>
        <v>407945.02</v>
      </c>
      <c r="AB422" s="387">
        <f>111407.4+72167.86</f>
        <v>183575.26</v>
      </c>
      <c r="AC422" s="388">
        <f>136164.6+88205.16</f>
        <v>224369.76</v>
      </c>
    </row>
    <row r="423" spans="1:29" s="319" customFormat="1">
      <c r="B423" s="319" t="s">
        <v>42</v>
      </c>
      <c r="C423" s="319" t="s">
        <v>546</v>
      </c>
      <c r="D423" s="319" t="s">
        <v>547</v>
      </c>
      <c r="E423" s="319" t="s">
        <v>45</v>
      </c>
      <c r="F423" s="283">
        <f>V469</f>
        <v>801570</v>
      </c>
      <c r="G423" s="283">
        <f>'Лист10(213,221-223,266,291-297)'!F160</f>
        <v>801570</v>
      </c>
      <c r="H423" s="346">
        <f t="shared" si="28"/>
        <v>0</v>
      </c>
      <c r="I423" s="283">
        <f>'Лист10(213,221-223,266,291-297)'!J160</f>
        <v>810098.39</v>
      </c>
      <c r="J423" s="283">
        <f>'Лист10(213,221-223,266,291-297)'!N160</f>
        <v>820430.14</v>
      </c>
      <c r="P423" s="374"/>
      <c r="Q423" s="374" t="s">
        <v>42</v>
      </c>
      <c r="R423" s="374" t="s">
        <v>546</v>
      </c>
      <c r="S423" s="374" t="s">
        <v>547</v>
      </c>
      <c r="T423" s="374" t="s">
        <v>45</v>
      </c>
      <c r="U423" s="386">
        <f t="shared" si="25"/>
        <v>624705.26</v>
      </c>
      <c r="V423" s="387">
        <v>506011.26</v>
      </c>
      <c r="W423" s="388">
        <f>F461</f>
        <v>118694</v>
      </c>
      <c r="X423" s="386">
        <f t="shared" si="26"/>
        <v>638460.73</v>
      </c>
      <c r="Y423" s="387">
        <f>486626.07+30527.12</f>
        <v>517153.19</v>
      </c>
      <c r="Z423" s="388">
        <f>114146.86+7160.68</f>
        <v>121307.54</v>
      </c>
      <c r="AA423" s="386">
        <f t="shared" si="27"/>
        <v>655124.81999999995</v>
      </c>
      <c r="AB423" s="387">
        <f>500123.99+30527.12</f>
        <v>530651.11</v>
      </c>
      <c r="AC423" s="388">
        <f>117313.03+7160.68</f>
        <v>124473.71</v>
      </c>
    </row>
    <row r="424" spans="1:29" s="319" customFormat="1">
      <c r="B424" s="319" t="s">
        <v>42</v>
      </c>
      <c r="C424" s="319" t="s">
        <v>546</v>
      </c>
      <c r="D424" s="319" t="s">
        <v>547</v>
      </c>
      <c r="E424" s="319" t="s">
        <v>118</v>
      </c>
      <c r="F424" s="283">
        <v>12428476.800000001</v>
      </c>
      <c r="G424" s="283">
        <f>G67+G68</f>
        <v>12428476.800000001</v>
      </c>
      <c r="H424" s="346">
        <f t="shared" si="28"/>
        <v>0</v>
      </c>
      <c r="I424" s="283">
        <f>J67+J68</f>
        <v>12428476.800000001</v>
      </c>
      <c r="J424" s="283">
        <f>M67+M68</f>
        <v>4721038.38</v>
      </c>
      <c r="P424" s="374"/>
      <c r="Q424" s="374" t="s">
        <v>42</v>
      </c>
      <c r="R424" s="374" t="s">
        <v>546</v>
      </c>
      <c r="S424" s="374" t="s">
        <v>547</v>
      </c>
      <c r="T424" s="374" t="s">
        <v>118</v>
      </c>
      <c r="U424" s="386">
        <f t="shared" si="25"/>
        <v>12428476.800000001</v>
      </c>
      <c r="V424" s="387">
        <v>12428476.800000001</v>
      </c>
      <c r="W424" s="388"/>
      <c r="X424" s="386">
        <f t="shared" si="26"/>
        <v>12428476.800000001</v>
      </c>
      <c r="Y424" s="387">
        <v>12428476.800000001</v>
      </c>
      <c r="Z424" s="388">
        <v>0</v>
      </c>
      <c r="AA424" s="386">
        <f t="shared" si="27"/>
        <v>4721038.38</v>
      </c>
      <c r="AB424" s="387">
        <v>4721038.38</v>
      </c>
      <c r="AC424" s="388">
        <v>0</v>
      </c>
    </row>
    <row r="425" spans="1:29" s="319" customFormat="1">
      <c r="B425" s="319" t="s">
        <v>42</v>
      </c>
      <c r="C425" s="319" t="s">
        <v>546</v>
      </c>
      <c r="D425" s="319" t="s">
        <v>547</v>
      </c>
      <c r="E425" s="319" t="s">
        <v>46</v>
      </c>
      <c r="F425" s="283">
        <f>414252.74+72227.96</f>
        <v>486480.7</v>
      </c>
      <c r="G425" s="283">
        <f>'Лист11(225)'!G35+'Лист11(225)'!G64</f>
        <v>319310.73</v>
      </c>
      <c r="H425" s="346">
        <f t="shared" si="28"/>
        <v>167169.97</v>
      </c>
      <c r="I425" s="283">
        <f>'Лист11(225)'!K35+'Лист11(225)'!K64</f>
        <v>332060.73</v>
      </c>
      <c r="J425" s="283">
        <f>'Лист11(225)'!O35+'Лист11(225)'!O64</f>
        <v>335018.75</v>
      </c>
      <c r="K425" s="375" t="s">
        <v>589</v>
      </c>
      <c r="P425" s="374"/>
      <c r="Q425" s="374" t="s">
        <v>42</v>
      </c>
      <c r="R425" s="374" t="s">
        <v>546</v>
      </c>
      <c r="S425" s="374" t="s">
        <v>547</v>
      </c>
      <c r="T425" s="374" t="s">
        <v>46</v>
      </c>
      <c r="U425" s="386">
        <f t="shared" si="25"/>
        <v>600593.46</v>
      </c>
      <c r="V425" s="387">
        <v>486480.7</v>
      </c>
      <c r="W425" s="388">
        <f>F463</f>
        <v>114112.76</v>
      </c>
      <c r="X425" s="386">
        <f t="shared" si="26"/>
        <v>613343.46</v>
      </c>
      <c r="Y425" s="387">
        <f>414252.74+10327.5+72227.96</f>
        <v>496808.2</v>
      </c>
      <c r="Z425" s="388">
        <f>97170.4+2422.5+16942.36</f>
        <v>116535.26</v>
      </c>
      <c r="AA425" s="386">
        <f t="shared" si="27"/>
        <v>616301.48</v>
      </c>
      <c r="AB425" s="387">
        <f>605.9+12117.6+72227.96+414252.74</f>
        <v>499204.2</v>
      </c>
      <c r="AC425" s="388">
        <f>142.12+2842.4+16942.36+97170.4</f>
        <v>117097.28</v>
      </c>
    </row>
    <row r="426" spans="1:29">
      <c r="B426" s="29" t="s">
        <v>42</v>
      </c>
      <c r="C426" s="29" t="s">
        <v>546</v>
      </c>
      <c r="D426" s="29" t="s">
        <v>547</v>
      </c>
      <c r="E426" s="29" t="s">
        <v>37</v>
      </c>
      <c r="F426" s="283">
        <f>1096547.27+91560.46+12608.95+111780+153750.96+87918.08+43046.64+30115.48</f>
        <v>1627327.84</v>
      </c>
      <c r="G426" s="38" t="e">
        <f>'Лист12(224,225,226,310,342-349'!G36+'Лист12(224,225,226,310,342-349'!G57+'Лист12(224,225,226,310,342-349'!G58+'Лист12(224,225,226,310,342-349'!G60+'Лист12(224,225,226,310,342-349'!G61+'Лист12(224,225,226,310,342-349'!G62+'Лист12(224,225,226,310,342-349'!G63+'Лист12(224,225,226,310,342-349'!G64+'Лист12(224,225,226,310,342-349'!G66+'Лист12(224,225,226,310,342-349'!G69+#REF!+#REF!</f>
        <v>#REF!</v>
      </c>
      <c r="H426" s="344" t="e">
        <f t="shared" si="28"/>
        <v>#REF!</v>
      </c>
      <c r="I426" s="283"/>
      <c r="J426" s="38"/>
      <c r="P426" s="374"/>
      <c r="Q426" s="374" t="s">
        <v>42</v>
      </c>
      <c r="R426" s="374" t="s">
        <v>546</v>
      </c>
      <c r="S426" s="374" t="s">
        <v>547</v>
      </c>
      <c r="T426" s="374" t="s">
        <v>37</v>
      </c>
      <c r="U426" s="386">
        <f t="shared" si="25"/>
        <v>4759765.8600000003</v>
      </c>
      <c r="V426" s="387">
        <v>1627327.84</v>
      </c>
      <c r="W426" s="388">
        <f>F464</f>
        <v>3132438.02</v>
      </c>
      <c r="X426" s="386">
        <f t="shared" si="26"/>
        <v>4042779.12</v>
      </c>
      <c r="Y426" s="387">
        <f>508187.52+91560.46+13175.95+111780+153750.96+94951.57+43046.64+30115.48</f>
        <v>1046568.58</v>
      </c>
      <c r="Z426" s="388">
        <f>119204.48+21477.14+3090.65+26220+36065.04+22272.59+1383821.9+622720+10097.36+7064.12+307932+17655.26+418590</f>
        <v>2996210.54</v>
      </c>
      <c r="AA426" s="386">
        <f>AB426+AC426</f>
        <v>4052590.52</v>
      </c>
      <c r="AB426" s="387">
        <f>30115.48+43046.64+102547.75+153750.96+111780+13527+91560.46+508187.52</f>
        <v>1054515.81</v>
      </c>
      <c r="AC426" s="388">
        <v>2998074.71</v>
      </c>
    </row>
    <row r="427" spans="1:29">
      <c r="B427" s="29" t="s">
        <v>42</v>
      </c>
      <c r="C427" s="29" t="s">
        <v>551</v>
      </c>
      <c r="D427" s="29" t="s">
        <v>547</v>
      </c>
      <c r="E427" s="29" t="s">
        <v>37</v>
      </c>
      <c r="F427" s="283">
        <v>2175316.06</v>
      </c>
      <c r="G427" s="38">
        <f>G80</f>
        <v>2175316.06</v>
      </c>
      <c r="H427" s="345">
        <f t="shared" si="28"/>
        <v>0</v>
      </c>
      <c r="I427" s="38"/>
      <c r="J427" s="38"/>
      <c r="P427" s="374"/>
      <c r="Q427" s="374" t="s">
        <v>42</v>
      </c>
      <c r="R427" s="374" t="s">
        <v>551</v>
      </c>
      <c r="S427" s="374" t="s">
        <v>547</v>
      </c>
      <c r="T427" s="374" t="s">
        <v>37</v>
      </c>
      <c r="U427" s="386">
        <f t="shared" si="25"/>
        <v>2175316.06</v>
      </c>
      <c r="V427" s="387">
        <v>2175316.06</v>
      </c>
      <c r="W427" s="388"/>
      <c r="X427" s="386">
        <f t="shared" si="26"/>
        <v>2168787.38</v>
      </c>
      <c r="Y427" s="387">
        <v>2168787.38</v>
      </c>
      <c r="Z427" s="388"/>
      <c r="AA427" s="386">
        <f t="shared" si="27"/>
        <v>2294502.7799999998</v>
      </c>
      <c r="AB427" s="387">
        <v>2294502.7799999998</v>
      </c>
      <c r="AC427" s="388">
        <v>0</v>
      </c>
    </row>
    <row r="428" spans="1:29" s="375" customFormat="1">
      <c r="B428" s="375" t="s">
        <v>42</v>
      </c>
      <c r="C428" s="375" t="s">
        <v>552</v>
      </c>
      <c r="D428" s="375" t="s">
        <v>547</v>
      </c>
      <c r="E428" s="376">
        <v>226</v>
      </c>
      <c r="F428" s="283">
        <v>657987.48</v>
      </c>
      <c r="G428" s="373">
        <v>0</v>
      </c>
      <c r="H428" s="377">
        <f t="shared" si="28"/>
        <v>657987.48</v>
      </c>
      <c r="I428" s="373">
        <v>0</v>
      </c>
      <c r="J428" s="373">
        <v>0</v>
      </c>
      <c r="P428" s="374"/>
      <c r="Q428" s="442" t="s">
        <v>42</v>
      </c>
      <c r="R428" s="443" t="s">
        <v>552</v>
      </c>
      <c r="S428" s="443" t="s">
        <v>547</v>
      </c>
      <c r="T428" s="443">
        <v>226</v>
      </c>
      <c r="U428" s="438">
        <f t="shared" si="25"/>
        <v>34630.9</v>
      </c>
      <c r="V428" s="439">
        <v>34630.9</v>
      </c>
      <c r="W428" s="388"/>
      <c r="X428" s="386">
        <f t="shared" si="26"/>
        <v>0</v>
      </c>
      <c r="Y428" s="387"/>
      <c r="Z428" s="388"/>
      <c r="AA428" s="386">
        <f t="shared" si="27"/>
        <v>0</v>
      </c>
      <c r="AB428" s="387"/>
      <c r="AC428" s="388"/>
    </row>
    <row r="429" spans="1:29" s="375" customFormat="1">
      <c r="E429" s="376"/>
      <c r="F429" s="283"/>
      <c r="G429" s="373"/>
      <c r="H429" s="377"/>
      <c r="I429" s="373"/>
      <c r="J429" s="373"/>
      <c r="P429" s="374"/>
      <c r="Q429" s="444" t="s">
        <v>42</v>
      </c>
      <c r="R429" s="445" t="s">
        <v>552</v>
      </c>
      <c r="S429" s="445" t="s">
        <v>547</v>
      </c>
      <c r="T429" s="445">
        <v>346</v>
      </c>
      <c r="U429" s="386">
        <f t="shared" si="25"/>
        <v>9448.0499999999993</v>
      </c>
      <c r="V429" s="388">
        <v>9448.0499999999993</v>
      </c>
      <c r="W429" s="388"/>
      <c r="X429" s="386"/>
      <c r="Y429" s="387"/>
      <c r="Z429" s="388"/>
      <c r="AA429" s="386"/>
      <c r="AB429" s="387"/>
      <c r="AC429" s="388"/>
    </row>
    <row r="430" spans="1:29" s="375" customFormat="1">
      <c r="A430" s="375" t="s">
        <v>590</v>
      </c>
      <c r="B430" s="375" t="s">
        <v>42</v>
      </c>
      <c r="C430" s="375" t="s">
        <v>552</v>
      </c>
      <c r="D430" s="375" t="s">
        <v>553</v>
      </c>
      <c r="E430" s="376">
        <v>226</v>
      </c>
      <c r="F430" s="283">
        <v>34630.9</v>
      </c>
      <c r="G430" s="373">
        <v>0</v>
      </c>
      <c r="H430" s="377">
        <f t="shared" si="28"/>
        <v>34630.9</v>
      </c>
      <c r="I430" s="373">
        <v>0</v>
      </c>
      <c r="J430" s="373">
        <v>0</v>
      </c>
      <c r="P430" s="374" t="s">
        <v>590</v>
      </c>
      <c r="Q430" s="444" t="s">
        <v>42</v>
      </c>
      <c r="R430" s="445" t="s">
        <v>552</v>
      </c>
      <c r="S430" s="445" t="s">
        <v>553</v>
      </c>
      <c r="T430" s="445">
        <v>226</v>
      </c>
      <c r="U430" s="386">
        <f t="shared" si="25"/>
        <v>361868.12</v>
      </c>
      <c r="V430" s="388">
        <v>361868.12</v>
      </c>
      <c r="W430" s="388"/>
      <c r="X430" s="386">
        <f t="shared" si="26"/>
        <v>0</v>
      </c>
      <c r="Y430" s="387"/>
      <c r="Z430" s="388"/>
      <c r="AA430" s="386">
        <f t="shared" si="27"/>
        <v>0</v>
      </c>
      <c r="AB430" s="387"/>
      <c r="AC430" s="388"/>
    </row>
    <row r="431" spans="1:29" s="375" customFormat="1">
      <c r="E431" s="376"/>
      <c r="F431" s="283"/>
      <c r="G431" s="373"/>
      <c r="H431" s="377"/>
      <c r="I431" s="373"/>
      <c r="J431" s="373"/>
      <c r="P431" s="374"/>
      <c r="Q431" s="444" t="s">
        <v>42</v>
      </c>
      <c r="R431" s="445" t="s">
        <v>552</v>
      </c>
      <c r="S431" s="445" t="s">
        <v>553</v>
      </c>
      <c r="T431" s="445">
        <v>346</v>
      </c>
      <c r="U431" s="386">
        <f t="shared" si="25"/>
        <v>98731.88</v>
      </c>
      <c r="V431" s="388">
        <v>98731.88</v>
      </c>
      <c r="W431" s="388"/>
      <c r="X431" s="386"/>
      <c r="Y431" s="387"/>
      <c r="Z431" s="388"/>
      <c r="AA431" s="386"/>
      <c r="AB431" s="387"/>
      <c r="AC431" s="388"/>
    </row>
    <row r="432" spans="1:29" s="375" customFormat="1">
      <c r="A432" s="375" t="s">
        <v>590</v>
      </c>
      <c r="B432" s="375" t="s">
        <v>42</v>
      </c>
      <c r="C432" s="375" t="s">
        <v>552</v>
      </c>
      <c r="D432" s="375" t="s">
        <v>553</v>
      </c>
      <c r="E432" s="376">
        <v>346</v>
      </c>
      <c r="F432" s="283">
        <v>188960.57</v>
      </c>
      <c r="G432" s="373">
        <v>0</v>
      </c>
      <c r="H432" s="377">
        <f t="shared" si="28"/>
        <v>188960.57</v>
      </c>
      <c r="I432" s="373">
        <v>0</v>
      </c>
      <c r="J432" s="373">
        <v>0</v>
      </c>
      <c r="P432" s="374" t="s">
        <v>590</v>
      </c>
      <c r="Q432" s="444" t="s">
        <v>42</v>
      </c>
      <c r="R432" s="445" t="s">
        <v>552</v>
      </c>
      <c r="S432" s="446">
        <v>30015204</v>
      </c>
      <c r="T432" s="445">
        <v>226</v>
      </c>
      <c r="U432" s="386">
        <f t="shared" si="25"/>
        <v>296119.36</v>
      </c>
      <c r="V432" s="388">
        <v>296119.36</v>
      </c>
      <c r="W432" s="388"/>
      <c r="X432" s="386">
        <f t="shared" si="26"/>
        <v>0</v>
      </c>
      <c r="Y432" s="387"/>
      <c r="Z432" s="388"/>
      <c r="AA432" s="386">
        <f t="shared" si="27"/>
        <v>0</v>
      </c>
      <c r="AB432" s="387"/>
      <c r="AC432" s="388"/>
    </row>
    <row r="433" spans="2:29" s="375" customFormat="1">
      <c r="E433" s="376"/>
      <c r="F433" s="283"/>
      <c r="G433" s="373"/>
      <c r="H433" s="377"/>
      <c r="I433" s="373"/>
      <c r="J433" s="373"/>
      <c r="P433" s="374"/>
      <c r="Q433" s="447" t="s">
        <v>42</v>
      </c>
      <c r="R433" s="448" t="s">
        <v>552</v>
      </c>
      <c r="S433" s="449">
        <v>30015204</v>
      </c>
      <c r="T433" s="448">
        <v>346</v>
      </c>
      <c r="U433" s="440">
        <f t="shared" si="25"/>
        <v>80780.639999999999</v>
      </c>
      <c r="V433" s="441">
        <v>80780.639999999999</v>
      </c>
      <c r="W433" s="388"/>
      <c r="X433" s="386"/>
      <c r="Y433" s="387"/>
      <c r="Z433" s="388"/>
      <c r="AA433" s="386"/>
      <c r="AB433" s="387"/>
      <c r="AC433" s="388"/>
    </row>
    <row r="434" spans="2:29" s="319" customFormat="1">
      <c r="B434" s="319" t="s">
        <v>42</v>
      </c>
      <c r="C434" s="319" t="s">
        <v>546</v>
      </c>
      <c r="D434" s="319" t="s">
        <v>547</v>
      </c>
      <c r="E434" s="319" t="s">
        <v>48</v>
      </c>
      <c r="F434" s="283">
        <v>26310.14</v>
      </c>
      <c r="G434" s="283">
        <f>G265</f>
        <v>26310.14</v>
      </c>
      <c r="H434" s="346">
        <f t="shared" si="28"/>
        <v>0</v>
      </c>
      <c r="I434" s="283">
        <f>J265</f>
        <v>30893.68</v>
      </c>
      <c r="J434" s="283">
        <f>M265</f>
        <v>30616.73</v>
      </c>
      <c r="P434" s="374"/>
      <c r="Q434" s="374" t="s">
        <v>42</v>
      </c>
      <c r="R434" s="374" t="s">
        <v>546</v>
      </c>
      <c r="S434" s="374" t="s">
        <v>547</v>
      </c>
      <c r="T434" s="374" t="s">
        <v>48</v>
      </c>
      <c r="U434" s="386">
        <f t="shared" si="25"/>
        <v>32481.66</v>
      </c>
      <c r="V434" s="387">
        <v>26310.14</v>
      </c>
      <c r="W434" s="388">
        <f>F470</f>
        <v>6171.52</v>
      </c>
      <c r="X434" s="386">
        <f t="shared" si="26"/>
        <v>38140.339999999997</v>
      </c>
      <c r="Y434" s="387">
        <v>30893.68</v>
      </c>
      <c r="Z434" s="388">
        <v>7246.66</v>
      </c>
      <c r="AA434" s="386">
        <f t="shared" si="27"/>
        <v>37798.449999999997</v>
      </c>
      <c r="AB434" s="387">
        <v>30616.73</v>
      </c>
      <c r="AC434" s="388">
        <v>7181.72</v>
      </c>
    </row>
    <row r="435" spans="2:29">
      <c r="B435" s="319" t="s">
        <v>42</v>
      </c>
      <c r="C435" s="319" t="s">
        <v>546</v>
      </c>
      <c r="D435" s="319" t="s">
        <v>547</v>
      </c>
      <c r="E435" s="319" t="s">
        <v>49</v>
      </c>
      <c r="F435" s="283">
        <f>187438.31</f>
        <v>187438.31</v>
      </c>
      <c r="G435" s="283" t="e">
        <f>#REF!</f>
        <v>#REF!</v>
      </c>
      <c r="H435" s="346" t="e">
        <f t="shared" si="28"/>
        <v>#REF!</v>
      </c>
      <c r="I435" s="283" t="e">
        <f>#REF!</f>
        <v>#REF!</v>
      </c>
      <c r="J435" s="283" t="e">
        <f>#REF!</f>
        <v>#REF!</v>
      </c>
      <c r="P435" s="374"/>
      <c r="Q435" s="374" t="s">
        <v>42</v>
      </c>
      <c r="R435" s="374" t="s">
        <v>546</v>
      </c>
      <c r="S435" s="374" t="s">
        <v>547</v>
      </c>
      <c r="T435" s="374" t="s">
        <v>49</v>
      </c>
      <c r="U435" s="386">
        <f t="shared" si="25"/>
        <v>725361.42</v>
      </c>
      <c r="V435" s="387">
        <v>187438.31</v>
      </c>
      <c r="W435" s="388">
        <f>F471</f>
        <v>537923.11</v>
      </c>
      <c r="X435" s="386">
        <f t="shared" si="26"/>
        <v>678458.74</v>
      </c>
      <c r="Y435" s="387">
        <v>187438.31</v>
      </c>
      <c r="Z435" s="388">
        <f>43967.01+80867.29+50013.29+286260.94+29911.9</f>
        <v>491020.43</v>
      </c>
      <c r="AA435" s="386">
        <f t="shared" si="27"/>
        <v>678458.74</v>
      </c>
      <c r="AB435" s="387">
        <f>187438.31</f>
        <v>187438.31</v>
      </c>
      <c r="AC435" s="388">
        <f>43967.01+80867.29+50013.29+286260.94+29911.9</f>
        <v>491020.43</v>
      </c>
    </row>
    <row r="436" spans="2:29">
      <c r="B436" s="29" t="s">
        <v>42</v>
      </c>
      <c r="C436" s="29" t="s">
        <v>551</v>
      </c>
      <c r="D436" s="29" t="s">
        <v>547</v>
      </c>
      <c r="E436" s="29" t="s">
        <v>49</v>
      </c>
      <c r="F436" s="283">
        <v>460603.27</v>
      </c>
      <c r="G436" s="38">
        <f>G164</f>
        <v>44468.99</v>
      </c>
      <c r="H436" s="345">
        <f t="shared" si="28"/>
        <v>416134.28</v>
      </c>
      <c r="I436" s="38"/>
      <c r="J436" s="38"/>
      <c r="P436" s="374"/>
      <c r="Q436" s="374" t="s">
        <v>42</v>
      </c>
      <c r="R436" s="374" t="s">
        <v>551</v>
      </c>
      <c r="S436" s="374" t="s">
        <v>547</v>
      </c>
      <c r="T436" s="374" t="s">
        <v>49</v>
      </c>
      <c r="U436" s="386">
        <f t="shared" si="25"/>
        <v>460603.27</v>
      </c>
      <c r="V436" s="387">
        <v>460603.27</v>
      </c>
      <c r="W436" s="388">
        <f>F472</f>
        <v>0</v>
      </c>
      <c r="X436" s="386">
        <f t="shared" si="26"/>
        <v>477131.95</v>
      </c>
      <c r="Y436" s="387">
        <f>467131.95+10000</f>
        <v>477131.95</v>
      </c>
      <c r="Z436" s="388"/>
      <c r="AA436" s="386">
        <f t="shared" si="27"/>
        <v>341416.55</v>
      </c>
      <c r="AB436" s="387">
        <v>341416.55</v>
      </c>
      <c r="AC436" s="388">
        <v>0</v>
      </c>
    </row>
    <row r="437" spans="2:29" s="319" customFormat="1">
      <c r="B437" s="319" t="s">
        <v>40</v>
      </c>
      <c r="C437" s="319" t="s">
        <v>546</v>
      </c>
      <c r="D437" s="319" t="s">
        <v>547</v>
      </c>
      <c r="E437" s="319" t="s">
        <v>41</v>
      </c>
      <c r="F437" s="283">
        <f>V482</f>
        <v>50065.93</v>
      </c>
      <c r="G437" s="283">
        <f>'Лист10(213,221-223,266,291-297)'!F42</f>
        <v>50065.93</v>
      </c>
      <c r="H437" s="346">
        <f t="shared" si="28"/>
        <v>0</v>
      </c>
      <c r="I437" s="283">
        <f>'Лист10(213,221-223,266,291-297)'!J42</f>
        <v>37173.14</v>
      </c>
      <c r="J437" s="283">
        <f>'Лист10(213,221-223,266,291-297)'!N42</f>
        <v>40682.78</v>
      </c>
      <c r="P437" s="374"/>
      <c r="Q437" s="374" t="s">
        <v>40</v>
      </c>
      <c r="R437" s="374" t="s">
        <v>546</v>
      </c>
      <c r="S437" s="374" t="s">
        <v>547</v>
      </c>
      <c r="T437" s="374" t="s">
        <v>41</v>
      </c>
      <c r="U437" s="386">
        <f t="shared" si="25"/>
        <v>67448.710000000006</v>
      </c>
      <c r="V437" s="387">
        <v>60988.31</v>
      </c>
      <c r="W437" s="388">
        <f>F473</f>
        <v>6460.4</v>
      </c>
      <c r="X437" s="386">
        <f t="shared" si="26"/>
        <v>67448.710000000006</v>
      </c>
      <c r="Y437" s="387">
        <v>60988.31</v>
      </c>
      <c r="Z437" s="388">
        <v>6460.4</v>
      </c>
      <c r="AA437" s="386">
        <f t="shared" si="27"/>
        <v>67448.710000000006</v>
      </c>
      <c r="AB437" s="387">
        <v>60988.31</v>
      </c>
      <c r="AC437" s="388">
        <v>6460.4</v>
      </c>
    </row>
    <row r="438" spans="2:29" s="319" customFormat="1">
      <c r="F438" s="283"/>
      <c r="G438" s="283"/>
      <c r="H438" s="346"/>
      <c r="I438" s="283"/>
      <c r="J438" s="283"/>
      <c r="P438" s="374"/>
      <c r="Q438" s="374"/>
      <c r="R438" s="374"/>
      <c r="S438" s="374"/>
      <c r="T438" s="374">
        <v>342</v>
      </c>
      <c r="U438" s="386">
        <f t="shared" si="25"/>
        <v>51570</v>
      </c>
      <c r="V438" s="387"/>
      <c r="W438" s="388">
        <f>F469</f>
        <v>51570</v>
      </c>
      <c r="X438" s="386">
        <f t="shared" si="26"/>
        <v>51570</v>
      </c>
      <c r="Y438" s="387">
        <v>0</v>
      </c>
      <c r="Z438" s="388">
        <v>51570</v>
      </c>
      <c r="AA438" s="386">
        <f t="shared" si="27"/>
        <v>51570</v>
      </c>
      <c r="AB438" s="387"/>
      <c r="AC438" s="388">
        <v>51570</v>
      </c>
    </row>
    <row r="439" spans="2:29" s="319" customFormat="1">
      <c r="F439" s="283"/>
      <c r="G439" s="283"/>
      <c r="H439" s="346"/>
      <c r="I439" s="283"/>
      <c r="J439" s="283"/>
      <c r="P439" s="374"/>
      <c r="Q439" s="374"/>
      <c r="R439" s="374"/>
      <c r="S439" s="374"/>
      <c r="T439" s="374">
        <v>349</v>
      </c>
      <c r="U439" s="386">
        <f t="shared" si="25"/>
        <v>362549.12</v>
      </c>
      <c r="V439" s="387"/>
      <c r="W439" s="388">
        <f>F465</f>
        <v>362549.12</v>
      </c>
      <c r="X439" s="386">
        <f t="shared" si="26"/>
        <v>1051373.24</v>
      </c>
      <c r="Y439" s="387">
        <v>0</v>
      </c>
      <c r="Z439" s="388">
        <f>151800+899573.24</f>
        <v>1051373.24</v>
      </c>
      <c r="AA439" s="386">
        <f t="shared" si="27"/>
        <v>1051373.24</v>
      </c>
      <c r="AB439" s="387"/>
      <c r="AC439" s="388">
        <f>151800+899573.24</f>
        <v>1051373.24</v>
      </c>
    </row>
    <row r="440" spans="2:29" s="319" customFormat="1">
      <c r="F440" s="283"/>
      <c r="G440" s="283"/>
      <c r="H440" s="346"/>
      <c r="I440" s="283"/>
      <c r="J440" s="283"/>
      <c r="P440" s="374"/>
      <c r="Q440" s="374"/>
      <c r="R440" s="374"/>
      <c r="S440" s="374"/>
      <c r="T440" s="374"/>
      <c r="U440" s="386">
        <f t="shared" si="25"/>
        <v>0</v>
      </c>
      <c r="V440" s="387"/>
      <c r="W440" s="388"/>
      <c r="X440" s="386">
        <f t="shared" si="26"/>
        <v>0</v>
      </c>
      <c r="Y440" s="387"/>
      <c r="Z440" s="388"/>
      <c r="AA440" s="386"/>
      <c r="AB440" s="387"/>
      <c r="AC440" s="388"/>
    </row>
    <row r="441" spans="2:29">
      <c r="F441" s="38">
        <f>SUM(F408:F437)</f>
        <v>64387404.700000003</v>
      </c>
      <c r="G441" s="38" t="e">
        <f>SUM(G408:G437)</f>
        <v>#REF!</v>
      </c>
      <c r="H441" s="343"/>
      <c r="I441" s="38"/>
      <c r="J441" s="38"/>
      <c r="U441" s="383">
        <f t="shared" ref="U441" si="29">SUM(U408:U440)</f>
        <v>84227468.189999998</v>
      </c>
      <c r="V441" s="383">
        <f>SUM(V408:V440)</f>
        <v>73626292.310000002</v>
      </c>
      <c r="W441" s="383">
        <f>SUM(W408:W440)</f>
        <v>10601175.880000001</v>
      </c>
      <c r="X441" s="384">
        <f t="shared" ref="X441:AC441" si="30">SUM(X408:X440)</f>
        <v>82976075.579999998</v>
      </c>
      <c r="Y441" s="385">
        <f t="shared" si="30"/>
        <v>71486075.579999998</v>
      </c>
      <c r="Z441" s="383">
        <f t="shared" si="30"/>
        <v>11490000</v>
      </c>
      <c r="AA441" s="384">
        <f t="shared" si="30"/>
        <v>75136271.030000001</v>
      </c>
      <c r="AB441" s="385">
        <f t="shared" si="30"/>
        <v>63646271.030000001</v>
      </c>
      <c r="AC441" s="383">
        <f t="shared" si="30"/>
        <v>11490000</v>
      </c>
    </row>
    <row r="442" spans="2:29">
      <c r="F442" s="38">
        <v>73626292.329999998</v>
      </c>
      <c r="G442" s="38"/>
      <c r="H442" s="343"/>
      <c r="Y442" s="38">
        <v>71486075.579999998</v>
      </c>
      <c r="Z442" s="38">
        <v>11490000</v>
      </c>
      <c r="AB442" s="29">
        <v>63646271.030000001</v>
      </c>
      <c r="AC442" s="38">
        <v>11490000</v>
      </c>
    </row>
    <row r="443" spans="2:29">
      <c r="F443" s="38">
        <f>F441-F442</f>
        <v>-9238887.6300000008</v>
      </c>
      <c r="G443" s="38"/>
      <c r="H443" s="343"/>
      <c r="Y443" s="38">
        <f>Y441-Y442</f>
        <v>0</v>
      </c>
      <c r="Z443" s="38">
        <f t="shared" ref="Z443:AC443" si="31">Z441-Z442</f>
        <v>0</v>
      </c>
      <c r="AA443" s="38">
        <f t="shared" si="31"/>
        <v>75136271.030000001</v>
      </c>
      <c r="AB443" s="38">
        <f t="shared" si="31"/>
        <v>0</v>
      </c>
      <c r="AC443" s="38">
        <f t="shared" si="31"/>
        <v>0</v>
      </c>
    </row>
    <row r="444" spans="2:29">
      <c r="H444" s="343"/>
    </row>
    <row r="445" spans="2:29" ht="26.25">
      <c r="F445" s="318" t="s">
        <v>573</v>
      </c>
      <c r="G445" s="29" t="s">
        <v>568</v>
      </c>
      <c r="H445" s="138" t="s">
        <v>569</v>
      </c>
      <c r="I445" s="29">
        <v>2023</v>
      </c>
      <c r="J445" s="29">
        <v>2024</v>
      </c>
      <c r="Y445" s="38">
        <f>Y434+Y435+Y436</f>
        <v>695463.94</v>
      </c>
    </row>
    <row r="446" spans="2:29">
      <c r="B446" s="29" t="s">
        <v>32</v>
      </c>
      <c r="C446" s="29" t="s">
        <v>546</v>
      </c>
      <c r="D446" s="332" t="s">
        <v>585</v>
      </c>
      <c r="E446" s="29" t="s">
        <v>33</v>
      </c>
      <c r="F446" s="38">
        <v>1000</v>
      </c>
      <c r="G446" s="38"/>
      <c r="H446" s="343">
        <f>F446-G446</f>
        <v>1000</v>
      </c>
      <c r="I446" s="38"/>
      <c r="J446" s="38"/>
    </row>
    <row r="447" spans="2:29">
      <c r="B447" s="29" t="s">
        <v>32</v>
      </c>
      <c r="C447" s="29" t="s">
        <v>548</v>
      </c>
      <c r="D447" s="29" t="s">
        <v>585</v>
      </c>
      <c r="E447" s="29" t="s">
        <v>33</v>
      </c>
      <c r="F447" s="38">
        <v>4526126.91</v>
      </c>
      <c r="G447" s="38"/>
      <c r="H447" s="343">
        <f t="shared" ref="H447:H475" si="32">F447-G447</f>
        <v>4526126.91</v>
      </c>
      <c r="I447" s="38"/>
      <c r="J447" s="38"/>
    </row>
    <row r="448" spans="2:29">
      <c r="B448" s="29" t="s">
        <v>32</v>
      </c>
      <c r="C448" s="29" t="s">
        <v>549</v>
      </c>
      <c r="D448" s="29" t="s">
        <v>585</v>
      </c>
      <c r="E448" s="29" t="s">
        <v>33</v>
      </c>
      <c r="F448" s="38">
        <v>0</v>
      </c>
      <c r="G448" s="38"/>
      <c r="H448" s="343">
        <f t="shared" si="32"/>
        <v>0</v>
      </c>
      <c r="I448" s="38"/>
      <c r="J448" s="38"/>
    </row>
    <row r="449" spans="2:29">
      <c r="B449" s="29" t="s">
        <v>32</v>
      </c>
      <c r="C449" s="29" t="s">
        <v>550</v>
      </c>
      <c r="D449" s="29" t="s">
        <v>585</v>
      </c>
      <c r="E449" s="29" t="s">
        <v>33</v>
      </c>
      <c r="F449" s="38">
        <v>0</v>
      </c>
      <c r="G449" s="38"/>
      <c r="H449" s="343">
        <f t="shared" si="32"/>
        <v>0</v>
      </c>
      <c r="I449" s="38"/>
      <c r="J449" s="38"/>
    </row>
    <row r="450" spans="2:29">
      <c r="B450" s="29" t="s">
        <v>32</v>
      </c>
      <c r="C450" s="29" t="s">
        <v>546</v>
      </c>
      <c r="D450" s="29" t="s">
        <v>585</v>
      </c>
      <c r="E450" s="29" t="s">
        <v>34</v>
      </c>
      <c r="F450" s="38"/>
      <c r="G450" s="38"/>
      <c r="H450" s="343">
        <f t="shared" si="32"/>
        <v>0</v>
      </c>
      <c r="I450" s="38"/>
      <c r="J450" s="38"/>
      <c r="P450" s="120"/>
      <c r="Q450" s="120"/>
      <c r="R450" s="1107" t="s">
        <v>594</v>
      </c>
      <c r="S450" s="1107"/>
      <c r="T450" s="1107"/>
      <c r="U450" s="1107"/>
      <c r="V450" s="1107"/>
      <c r="W450" s="1107"/>
      <c r="X450" s="1107"/>
      <c r="Y450" s="1107"/>
      <c r="Z450" s="1107"/>
      <c r="AA450" s="1107"/>
      <c r="AB450" s="1107"/>
      <c r="AC450" s="1107"/>
    </row>
    <row r="451" spans="2:29" s="319" customFormat="1">
      <c r="B451" s="319" t="s">
        <v>35</v>
      </c>
      <c r="C451" s="319" t="s">
        <v>546</v>
      </c>
      <c r="D451" s="319" t="s">
        <v>585</v>
      </c>
      <c r="E451" s="319" t="s">
        <v>36</v>
      </c>
      <c r="F451" s="283">
        <v>100000</v>
      </c>
      <c r="G451" s="283" t="e">
        <f>#REF!</f>
        <v>#REF!</v>
      </c>
      <c r="H451" s="343" t="e">
        <f t="shared" si="32"/>
        <v>#REF!</v>
      </c>
      <c r="I451" s="283" t="e">
        <f>#REF!</f>
        <v>#REF!</v>
      </c>
      <c r="J451" s="283" t="e">
        <f>#REF!</f>
        <v>#REF!</v>
      </c>
      <c r="P451" s="120"/>
      <c r="Q451" s="120"/>
      <c r="R451" s="1107"/>
      <c r="S451" s="1107"/>
      <c r="T451" s="1107"/>
      <c r="U451" s="1107"/>
      <c r="V451" s="1107"/>
      <c r="W451" s="1107"/>
      <c r="X451" s="1107"/>
      <c r="Y451" s="1107"/>
      <c r="Z451" s="1107"/>
      <c r="AA451" s="1107"/>
      <c r="AB451" s="1107"/>
      <c r="AC451" s="1107"/>
    </row>
    <row r="452" spans="2:29">
      <c r="B452" s="29" t="s">
        <v>35</v>
      </c>
      <c r="C452" s="29" t="s">
        <v>546</v>
      </c>
      <c r="D452" s="29" t="s">
        <v>585</v>
      </c>
      <c r="E452" s="29" t="s">
        <v>37</v>
      </c>
      <c r="F452" s="38">
        <v>0</v>
      </c>
      <c r="G452" s="38"/>
      <c r="H452" s="343">
        <f t="shared" si="32"/>
        <v>0</v>
      </c>
      <c r="I452" s="38"/>
      <c r="J452" s="38"/>
      <c r="P452" s="120"/>
      <c r="Q452" s="120"/>
      <c r="R452" s="1107"/>
      <c r="S452" s="1107"/>
      <c r="T452" s="1107"/>
      <c r="U452" s="1107"/>
      <c r="V452" s="1107"/>
      <c r="W452" s="1107"/>
      <c r="X452" s="1107"/>
      <c r="Y452" s="1107"/>
      <c r="Z452" s="1107"/>
      <c r="AA452" s="1107"/>
      <c r="AB452" s="1107"/>
      <c r="AC452" s="1107"/>
    </row>
    <row r="453" spans="2:29">
      <c r="B453" s="29" t="s">
        <v>35</v>
      </c>
      <c r="C453" s="29" t="s">
        <v>546</v>
      </c>
      <c r="D453" s="29" t="s">
        <v>585</v>
      </c>
      <c r="E453" s="29" t="s">
        <v>34</v>
      </c>
      <c r="F453" s="38">
        <v>425</v>
      </c>
      <c r="G453" s="38"/>
      <c r="H453" s="343">
        <f t="shared" si="32"/>
        <v>425</v>
      </c>
      <c r="I453" s="38"/>
      <c r="J453" s="38"/>
      <c r="P453" s="120"/>
      <c r="Q453" s="120"/>
      <c r="R453" s="120"/>
      <c r="S453" s="120"/>
      <c r="T453" s="120"/>
      <c r="U453" s="1108">
        <v>2022</v>
      </c>
      <c r="V453" s="1109"/>
      <c r="W453" s="1110"/>
      <c r="X453" s="1108">
        <v>2023</v>
      </c>
      <c r="Y453" s="1109"/>
      <c r="Z453" s="1110"/>
      <c r="AA453" s="1108">
        <v>2024</v>
      </c>
      <c r="AB453" s="1109"/>
      <c r="AC453" s="1110"/>
    </row>
    <row r="454" spans="2:29">
      <c r="B454" s="29" t="s">
        <v>38</v>
      </c>
      <c r="C454" s="29" t="s">
        <v>546</v>
      </c>
      <c r="D454" s="29" t="s">
        <v>585</v>
      </c>
      <c r="E454" s="29" t="s">
        <v>39</v>
      </c>
      <c r="F454" s="38">
        <v>1477069.57</v>
      </c>
      <c r="G454" s="38"/>
      <c r="H454" s="343">
        <f t="shared" si="32"/>
        <v>1477069.57</v>
      </c>
      <c r="I454" s="38"/>
      <c r="J454" s="38"/>
      <c r="P454" s="374" t="s">
        <v>587</v>
      </c>
      <c r="Q454" s="374" t="s">
        <v>32</v>
      </c>
      <c r="R454" s="374" t="s">
        <v>546</v>
      </c>
      <c r="S454" s="374" t="s">
        <v>614</v>
      </c>
      <c r="T454" s="374" t="s">
        <v>33</v>
      </c>
      <c r="U454" s="386">
        <f>V454+W454</f>
        <v>58000</v>
      </c>
      <c r="V454" s="387">
        <v>57000</v>
      </c>
      <c r="W454" s="388">
        <v>1000</v>
      </c>
      <c r="X454" s="386">
        <f>Y454+Z454</f>
        <v>62000</v>
      </c>
      <c r="Y454" s="387">
        <f>13000+4000+20000+20000+5000</f>
        <v>62000</v>
      </c>
      <c r="Z454" s="388"/>
      <c r="AA454" s="386">
        <f>AB454+AC454</f>
        <v>37000</v>
      </c>
      <c r="AB454" s="387">
        <f>8000+4000+20000+5000</f>
        <v>37000</v>
      </c>
      <c r="AC454" s="388"/>
    </row>
    <row r="455" spans="2:29">
      <c r="B455" s="29" t="s">
        <v>38</v>
      </c>
      <c r="C455" s="29" t="s">
        <v>548</v>
      </c>
      <c r="D455" s="29" t="s">
        <v>585</v>
      </c>
      <c r="E455" s="29" t="s">
        <v>39</v>
      </c>
      <c r="F455" s="38">
        <v>0</v>
      </c>
      <c r="G455" s="38"/>
      <c r="H455" s="343">
        <f t="shared" si="32"/>
        <v>0</v>
      </c>
      <c r="I455" s="38"/>
      <c r="J455" s="38"/>
      <c r="P455" s="374" t="s">
        <v>588</v>
      </c>
      <c r="Q455" s="374" t="s">
        <v>32</v>
      </c>
      <c r="R455" s="374" t="s">
        <v>548</v>
      </c>
      <c r="S455" s="374" t="s">
        <v>614</v>
      </c>
      <c r="T455" s="374" t="s">
        <v>33</v>
      </c>
      <c r="U455" s="386">
        <f t="shared" ref="U455:U486" si="33">V455+W455</f>
        <v>37903413.68</v>
      </c>
      <c r="V455" s="391">
        <f>40764980.37-7387693.6</f>
        <v>33377286.77</v>
      </c>
      <c r="W455" s="388">
        <v>4526126.91</v>
      </c>
      <c r="X455" s="386">
        <f t="shared" ref="X455:X486" si="34">Y455+Z455</f>
        <v>29674566.350000001</v>
      </c>
      <c r="Y455" s="391">
        <f>40398633.81-15616540.93</f>
        <v>24782092.879999999</v>
      </c>
      <c r="Z455" s="388">
        <v>4892473.47</v>
      </c>
      <c r="AA455" s="386">
        <f t="shared" ref="AA455:AA471" si="35">AB455+AC455</f>
        <v>31978747.210000001</v>
      </c>
      <c r="AB455" s="391">
        <f>40434215.56-13312360.07</f>
        <v>27121855.489999998</v>
      </c>
      <c r="AC455" s="388">
        <v>4856891.72</v>
      </c>
    </row>
    <row r="456" spans="2:29">
      <c r="B456" s="29" t="s">
        <v>38</v>
      </c>
      <c r="C456" s="29" t="s">
        <v>549</v>
      </c>
      <c r="D456" s="29" t="s">
        <v>585</v>
      </c>
      <c r="E456" s="29" t="s">
        <v>39</v>
      </c>
      <c r="F456" s="38">
        <v>0</v>
      </c>
      <c r="G456" s="38"/>
      <c r="H456" s="343">
        <f t="shared" si="32"/>
        <v>0</v>
      </c>
      <c r="I456" s="38"/>
      <c r="J456" s="38"/>
      <c r="P456" s="374"/>
      <c r="Q456" s="374" t="s">
        <v>32</v>
      </c>
      <c r="R456" s="374" t="s">
        <v>549</v>
      </c>
      <c r="S456" s="374" t="s">
        <v>614</v>
      </c>
      <c r="T456" s="374" t="s">
        <v>33</v>
      </c>
      <c r="U456" s="386">
        <f t="shared" si="33"/>
        <v>0</v>
      </c>
      <c r="V456" s="387">
        <v>0</v>
      </c>
      <c r="W456" s="388"/>
      <c r="X456" s="386">
        <f t="shared" si="34"/>
        <v>0</v>
      </c>
      <c r="Y456" s="387"/>
      <c r="Z456" s="388"/>
      <c r="AA456" s="386">
        <f t="shared" si="35"/>
        <v>0</v>
      </c>
      <c r="AB456" s="387"/>
      <c r="AC456" s="388"/>
    </row>
    <row r="457" spans="2:29">
      <c r="B457" s="29" t="s">
        <v>38</v>
      </c>
      <c r="C457" s="29" t="s">
        <v>550</v>
      </c>
      <c r="D457" s="29" t="s">
        <v>585</v>
      </c>
      <c r="E457" s="29" t="s">
        <v>39</v>
      </c>
      <c r="F457" s="38">
        <v>0</v>
      </c>
      <c r="G457" s="38"/>
      <c r="H457" s="343">
        <f t="shared" si="32"/>
        <v>0</v>
      </c>
      <c r="I457" s="38"/>
      <c r="J457" s="38"/>
      <c r="P457" s="374"/>
      <c r="Q457" s="374" t="s">
        <v>32</v>
      </c>
      <c r="R457" s="374" t="s">
        <v>550</v>
      </c>
      <c r="S457" s="374" t="s">
        <v>614</v>
      </c>
      <c r="T457" s="374" t="s">
        <v>33</v>
      </c>
      <c r="U457" s="386">
        <f t="shared" si="33"/>
        <v>0</v>
      </c>
      <c r="V457" s="387">
        <v>0</v>
      </c>
      <c r="W457" s="388"/>
      <c r="X457" s="386">
        <f t="shared" si="34"/>
        <v>0</v>
      </c>
      <c r="Y457" s="387"/>
      <c r="Z457" s="388"/>
      <c r="AA457" s="386">
        <f t="shared" si="35"/>
        <v>0</v>
      </c>
      <c r="AB457" s="387"/>
      <c r="AC457" s="388"/>
    </row>
    <row r="458" spans="2:29">
      <c r="B458" s="29" t="s">
        <v>38</v>
      </c>
      <c r="C458" s="29" t="s">
        <v>546</v>
      </c>
      <c r="D458" s="29" t="s">
        <v>585</v>
      </c>
      <c r="E458" s="29" t="s">
        <v>34</v>
      </c>
      <c r="F458" s="38">
        <v>0</v>
      </c>
      <c r="G458" s="38"/>
      <c r="H458" s="343">
        <f t="shared" si="32"/>
        <v>0</v>
      </c>
      <c r="I458" s="38"/>
      <c r="J458" s="38"/>
      <c r="P458" s="374" t="s">
        <v>591</v>
      </c>
      <c r="Q458" s="374" t="s">
        <v>32</v>
      </c>
      <c r="R458" s="374" t="s">
        <v>546</v>
      </c>
      <c r="S458" s="374" t="s">
        <v>614</v>
      </c>
      <c r="T458" s="374" t="s">
        <v>34</v>
      </c>
      <c r="U458" s="386">
        <f t="shared" si="33"/>
        <v>414998.65</v>
      </c>
      <c r="V458" s="389">
        <f>364367.34+50631.31</f>
        <v>414998.65</v>
      </c>
      <c r="W458" s="388"/>
      <c r="X458" s="386">
        <f t="shared" si="34"/>
        <v>73402.11</v>
      </c>
      <c r="Y458" s="389">
        <f>55386.41+110699.42-92683.72</f>
        <v>73402.11</v>
      </c>
      <c r="Z458" s="388">
        <v>0</v>
      </c>
      <c r="AA458" s="386">
        <f t="shared" si="35"/>
        <v>0</v>
      </c>
      <c r="AB458" s="387">
        <v>0</v>
      </c>
      <c r="AC458" s="388">
        <v>0</v>
      </c>
    </row>
    <row r="459" spans="2:29">
      <c r="B459" s="319" t="s">
        <v>42</v>
      </c>
      <c r="C459" s="319" t="s">
        <v>546</v>
      </c>
      <c r="D459" s="319" t="s">
        <v>585</v>
      </c>
      <c r="E459" s="319" t="s">
        <v>43</v>
      </c>
      <c r="F459" s="283">
        <v>0</v>
      </c>
      <c r="G459" s="283">
        <f>'Лист10(213,221-223,266,291-297)'!G108</f>
        <v>0</v>
      </c>
      <c r="H459" s="343">
        <f t="shared" si="32"/>
        <v>0</v>
      </c>
      <c r="I459" s="283">
        <f>'Лист10(213,221-223,266,291-297)'!K108</f>
        <v>0</v>
      </c>
      <c r="J459" s="283">
        <f>'Лист10(213,221-223,266,291-297)'!O108</f>
        <v>0</v>
      </c>
      <c r="P459" s="374"/>
      <c r="Q459" s="374" t="s">
        <v>35</v>
      </c>
      <c r="R459" s="374" t="s">
        <v>546</v>
      </c>
      <c r="S459" s="374" t="s">
        <v>614</v>
      </c>
      <c r="T459" s="374" t="s">
        <v>36</v>
      </c>
      <c r="U459" s="386">
        <f t="shared" si="33"/>
        <v>1100000</v>
      </c>
      <c r="V459" s="387">
        <v>1000000</v>
      </c>
      <c r="W459" s="388">
        <v>100000</v>
      </c>
      <c r="X459" s="386">
        <f t="shared" si="34"/>
        <v>1020000</v>
      </c>
      <c r="Y459" s="387">
        <v>960000</v>
      </c>
      <c r="Z459" s="388">
        <v>60000</v>
      </c>
      <c r="AA459" s="386">
        <f t="shared" si="35"/>
        <v>1100000</v>
      </c>
      <c r="AB459" s="387">
        <f>400000+599200</f>
        <v>999200</v>
      </c>
      <c r="AC459" s="388">
        <v>100800</v>
      </c>
    </row>
    <row r="460" spans="2:29">
      <c r="B460" s="319" t="s">
        <v>42</v>
      </c>
      <c r="C460" s="319" t="s">
        <v>546</v>
      </c>
      <c r="D460" s="319" t="s">
        <v>585</v>
      </c>
      <c r="E460" s="319" t="s">
        <v>44</v>
      </c>
      <c r="F460" s="283">
        <f>136164.6+30470.87</f>
        <v>166635.47</v>
      </c>
      <c r="G460" s="283">
        <f>'Лист10(213,221-223,266,291-297)'!F130</f>
        <v>166635.47</v>
      </c>
      <c r="H460" s="343">
        <f t="shared" si="32"/>
        <v>0</v>
      </c>
      <c r="I460" s="283">
        <f>'Лист10(213,221-223,266,291-297)'!J130</f>
        <v>224369.76</v>
      </c>
      <c r="J460" s="283">
        <f>'Лист10(213,221-223,266,291-297)'!N130</f>
        <v>224369.76</v>
      </c>
      <c r="P460" s="374"/>
      <c r="Q460" s="374" t="s">
        <v>35</v>
      </c>
      <c r="R460" s="374" t="s">
        <v>546</v>
      </c>
      <c r="S460" s="374" t="s">
        <v>614</v>
      </c>
      <c r="T460" s="374" t="s">
        <v>37</v>
      </c>
      <c r="U460" s="386">
        <f t="shared" si="33"/>
        <v>0</v>
      </c>
      <c r="V460" s="387">
        <v>0</v>
      </c>
      <c r="W460" s="388"/>
      <c r="X460" s="386">
        <f t="shared" si="34"/>
        <v>0</v>
      </c>
      <c r="Y460" s="387"/>
      <c r="Z460" s="388"/>
      <c r="AA460" s="386">
        <f t="shared" si="35"/>
        <v>0</v>
      </c>
      <c r="AB460" s="387"/>
      <c r="AC460" s="388"/>
    </row>
    <row r="461" spans="2:29" s="319" customFormat="1">
      <c r="B461" s="319" t="s">
        <v>42</v>
      </c>
      <c r="C461" s="319" t="s">
        <v>546</v>
      </c>
      <c r="D461" s="319" t="s">
        <v>585</v>
      </c>
      <c r="E461" s="319" t="s">
        <v>45</v>
      </c>
      <c r="F461" s="283">
        <f>111651.14+7042.86</f>
        <v>118694</v>
      </c>
      <c r="G461" s="283">
        <f>'Лист10(213,221-223,266,291-297)'!F188</f>
        <v>118694</v>
      </c>
      <c r="H461" s="343">
        <f t="shared" si="32"/>
        <v>0</v>
      </c>
      <c r="I461" s="283">
        <f>'Лист10(213,221-223,266,291-297)'!J188</f>
        <v>121307.54</v>
      </c>
      <c r="J461" s="283">
        <f>'Лист10(213,221-223,266,291-297)'!N188</f>
        <v>124473.71</v>
      </c>
      <c r="P461" s="374" t="s">
        <v>592</v>
      </c>
      <c r="Q461" s="374" t="s">
        <v>35</v>
      </c>
      <c r="R461" s="374" t="s">
        <v>546</v>
      </c>
      <c r="S461" s="374" t="s">
        <v>614</v>
      </c>
      <c r="T461" s="374" t="s">
        <v>34</v>
      </c>
      <c r="U461" s="386">
        <f t="shared" si="33"/>
        <v>2040</v>
      </c>
      <c r="V461" s="387">
        <v>1615</v>
      </c>
      <c r="W461" s="388">
        <v>425</v>
      </c>
      <c r="X461" s="386">
        <f t="shared" si="34"/>
        <v>510</v>
      </c>
      <c r="Y461" s="387">
        <v>510</v>
      </c>
      <c r="Z461" s="388">
        <v>0</v>
      </c>
      <c r="AA461" s="386">
        <f t="shared" si="35"/>
        <v>0</v>
      </c>
      <c r="AB461" s="387">
        <v>0</v>
      </c>
      <c r="AC461" s="388">
        <v>0</v>
      </c>
    </row>
    <row r="462" spans="2:29" s="319" customFormat="1">
      <c r="B462" s="319" t="s">
        <v>42</v>
      </c>
      <c r="C462" s="319" t="s">
        <v>546</v>
      </c>
      <c r="D462" s="319" t="s">
        <v>585</v>
      </c>
      <c r="E462" s="319" t="s">
        <v>118</v>
      </c>
      <c r="F462" s="283">
        <v>0</v>
      </c>
      <c r="G462" s="283">
        <v>0</v>
      </c>
      <c r="H462" s="343">
        <f t="shared" si="32"/>
        <v>0</v>
      </c>
      <c r="I462" s="283">
        <v>0</v>
      </c>
      <c r="J462" s="283">
        <v>0</v>
      </c>
      <c r="P462" s="374"/>
      <c r="Q462" s="374" t="s">
        <v>38</v>
      </c>
      <c r="R462" s="374" t="s">
        <v>546</v>
      </c>
      <c r="S462" s="374" t="s">
        <v>614</v>
      </c>
      <c r="T462" s="374" t="s">
        <v>39</v>
      </c>
      <c r="U462" s="386">
        <f t="shared" si="33"/>
        <v>25680.25</v>
      </c>
      <c r="V462" s="387">
        <v>25680.25</v>
      </c>
      <c r="W462" s="388"/>
      <c r="X462" s="386">
        <f t="shared" si="34"/>
        <v>13590</v>
      </c>
      <c r="Y462" s="387">
        <f>6040+6040+1510</f>
        <v>13590</v>
      </c>
      <c r="Z462" s="388"/>
      <c r="AA462" s="386">
        <f t="shared" si="35"/>
        <v>7550</v>
      </c>
      <c r="AB462" s="387">
        <f>1510+6040</f>
        <v>7550</v>
      </c>
      <c r="AC462" s="388"/>
    </row>
    <row r="463" spans="2:29" s="319" customFormat="1">
      <c r="B463" s="319" t="s">
        <v>42</v>
      </c>
      <c r="C463" s="319" t="s">
        <v>546</v>
      </c>
      <c r="D463" s="319" t="s">
        <v>585</v>
      </c>
      <c r="E463" s="319" t="s">
        <v>46</v>
      </c>
      <c r="F463" s="283">
        <f>97170.4+16942.36</f>
        <v>114112.76</v>
      </c>
      <c r="G463" s="283">
        <f>'Лист11(225)'!G47</f>
        <v>281282.73</v>
      </c>
      <c r="H463" s="343">
        <f t="shared" si="32"/>
        <v>-167169.97</v>
      </c>
      <c r="I463" s="283">
        <f>'Лист11(225)'!K47</f>
        <v>281282.73</v>
      </c>
      <c r="J463" s="283">
        <f>'Лист11(225)'!O47</f>
        <v>281282.73</v>
      </c>
      <c r="P463" s="374"/>
      <c r="Q463" s="374" t="s">
        <v>38</v>
      </c>
      <c r="R463" s="374" t="s">
        <v>548</v>
      </c>
      <c r="S463" s="374" t="s">
        <v>614</v>
      </c>
      <c r="T463" s="374" t="s">
        <v>39</v>
      </c>
      <c r="U463" s="386">
        <f t="shared" si="33"/>
        <v>11313544.98</v>
      </c>
      <c r="V463" s="391">
        <f>12022937.09-2186461.68</f>
        <v>9836475.4100000001</v>
      </c>
      <c r="W463" s="388">
        <v>1477069.57</v>
      </c>
      <c r="X463" s="386">
        <f t="shared" si="34"/>
        <v>8840528.6400000006</v>
      </c>
      <c r="Y463" s="391">
        <f>12028573.96-4659478.02</f>
        <v>7369095.9400000004</v>
      </c>
      <c r="Z463" s="388">
        <v>1471432.7</v>
      </c>
      <c r="AA463" s="386">
        <f t="shared" si="35"/>
        <v>9535925.6400000006</v>
      </c>
      <c r="AB463" s="391">
        <f>12039319.63-3964081.02</f>
        <v>8075238.6100000003</v>
      </c>
      <c r="AC463" s="388">
        <v>1460687.03</v>
      </c>
    </row>
    <row r="464" spans="2:29">
      <c r="B464" s="29" t="s">
        <v>42</v>
      </c>
      <c r="C464" s="29" t="s">
        <v>546</v>
      </c>
      <c r="D464" s="29" t="s">
        <v>585</v>
      </c>
      <c r="E464" s="29" t="s">
        <v>37</v>
      </c>
      <c r="F464" s="38">
        <f>418590+17655.26+307932+7064.12+10097.36+622720+1383821.9+20622.76+36065.04+26220+2957.65+21477.14+257214.79</f>
        <v>3132438.02</v>
      </c>
      <c r="G464" s="38"/>
      <c r="H464" s="343">
        <f t="shared" si="32"/>
        <v>3132438.02</v>
      </c>
      <c r="I464" s="38"/>
      <c r="J464" s="38"/>
      <c r="P464" s="374"/>
      <c r="Q464" s="374" t="s">
        <v>38</v>
      </c>
      <c r="R464" s="374" t="s">
        <v>549</v>
      </c>
      <c r="S464" s="374" t="s">
        <v>614</v>
      </c>
      <c r="T464" s="374" t="s">
        <v>39</v>
      </c>
      <c r="U464" s="386">
        <f t="shared" si="33"/>
        <v>0</v>
      </c>
      <c r="V464" s="387">
        <v>0</v>
      </c>
      <c r="W464" s="388"/>
      <c r="X464" s="386">
        <f t="shared" si="34"/>
        <v>0</v>
      </c>
      <c r="Y464" s="387"/>
      <c r="Z464" s="388"/>
      <c r="AA464" s="386">
        <f t="shared" si="35"/>
        <v>0</v>
      </c>
      <c r="AB464" s="387"/>
      <c r="AC464" s="388"/>
    </row>
    <row r="465" spans="2:29">
      <c r="B465" s="29" t="s">
        <v>42</v>
      </c>
      <c r="C465" s="29" t="s">
        <v>546</v>
      </c>
      <c r="D465" s="29" t="s">
        <v>585</v>
      </c>
      <c r="E465" s="29">
        <v>349</v>
      </c>
      <c r="F465" s="38">
        <f>W485</f>
        <v>362549.12</v>
      </c>
      <c r="G465" s="38"/>
      <c r="H465" s="343">
        <f t="shared" si="32"/>
        <v>362549.12</v>
      </c>
      <c r="I465" s="38"/>
      <c r="J465" s="38"/>
      <c r="P465" s="374"/>
      <c r="Q465" s="374" t="s">
        <v>38</v>
      </c>
      <c r="R465" s="374" t="s">
        <v>550</v>
      </c>
      <c r="S465" s="374" t="s">
        <v>614</v>
      </c>
      <c r="T465" s="374" t="s">
        <v>39</v>
      </c>
      <c r="U465" s="386">
        <f t="shared" si="33"/>
        <v>0</v>
      </c>
      <c r="V465" s="387">
        <v>0</v>
      </c>
      <c r="W465" s="388"/>
      <c r="X465" s="386">
        <f t="shared" si="34"/>
        <v>0</v>
      </c>
      <c r="Y465" s="387"/>
      <c r="Z465" s="388"/>
      <c r="AA465" s="386">
        <f t="shared" si="35"/>
        <v>0</v>
      </c>
      <c r="AB465" s="387"/>
      <c r="AC465" s="388"/>
    </row>
    <row r="466" spans="2:29" s="319" customFormat="1">
      <c r="B466" s="319" t="s">
        <v>42</v>
      </c>
      <c r="C466" s="319" t="s">
        <v>546</v>
      </c>
      <c r="D466" s="319" t="s">
        <v>585</v>
      </c>
      <c r="E466" s="319" t="s">
        <v>47</v>
      </c>
      <c r="F466" s="283">
        <f>W477</f>
        <v>300000</v>
      </c>
      <c r="G466" s="283">
        <v>0</v>
      </c>
      <c r="H466" s="343">
        <f t="shared" si="32"/>
        <v>300000</v>
      </c>
      <c r="I466" s="283">
        <v>0</v>
      </c>
      <c r="J466" s="283">
        <v>0</v>
      </c>
      <c r="P466" s="374"/>
      <c r="Q466" s="374" t="s">
        <v>38</v>
      </c>
      <c r="R466" s="374" t="s">
        <v>546</v>
      </c>
      <c r="S466" s="374" t="s">
        <v>614</v>
      </c>
      <c r="T466" s="374" t="s">
        <v>34</v>
      </c>
      <c r="U466" s="386">
        <f t="shared" si="33"/>
        <v>94928.69</v>
      </c>
      <c r="V466" s="387">
        <v>94928.69</v>
      </c>
      <c r="W466" s="388"/>
      <c r="X466" s="386">
        <f t="shared" si="34"/>
        <v>40157.919999999998</v>
      </c>
      <c r="Y466" s="387">
        <f>6726.7+33431.22</f>
        <v>40157.919999999998</v>
      </c>
      <c r="Z466" s="388"/>
      <c r="AA466" s="386">
        <f t="shared" si="35"/>
        <v>0</v>
      </c>
      <c r="AB466" s="387"/>
      <c r="AC466" s="388"/>
    </row>
    <row r="467" spans="2:29" s="319" customFormat="1">
      <c r="B467" s="319" t="s">
        <v>42</v>
      </c>
      <c r="C467" s="319" t="s">
        <v>552</v>
      </c>
      <c r="D467" s="319" t="s">
        <v>585</v>
      </c>
      <c r="E467" s="319" t="s">
        <v>47</v>
      </c>
      <c r="F467" s="283">
        <v>0</v>
      </c>
      <c r="G467" s="283">
        <v>0</v>
      </c>
      <c r="H467" s="343">
        <f t="shared" si="32"/>
        <v>0</v>
      </c>
      <c r="I467" s="283">
        <v>0</v>
      </c>
      <c r="J467" s="283">
        <v>0</v>
      </c>
      <c r="P467" s="374"/>
      <c r="Q467" s="374" t="s">
        <v>42</v>
      </c>
      <c r="R467" s="374" t="s">
        <v>546</v>
      </c>
      <c r="S467" s="374" t="s">
        <v>614</v>
      </c>
      <c r="T467" s="374" t="s">
        <v>43</v>
      </c>
      <c r="U467" s="386">
        <f t="shared" si="33"/>
        <v>212942.38</v>
      </c>
      <c r="V467" s="387">
        <v>212942.38</v>
      </c>
      <c r="W467" s="388">
        <v>0</v>
      </c>
      <c r="X467" s="386">
        <f t="shared" si="34"/>
        <v>218702.4</v>
      </c>
      <c r="Y467" s="387">
        <v>218702.4</v>
      </c>
      <c r="Z467" s="388">
        <v>0</v>
      </c>
      <c r="AA467" s="386">
        <f t="shared" si="35"/>
        <v>225038.4</v>
      </c>
      <c r="AB467" s="387">
        <v>225038.4</v>
      </c>
      <c r="AC467" s="388">
        <v>0</v>
      </c>
    </row>
    <row r="468" spans="2:29" s="319" customFormat="1">
      <c r="B468" s="319" t="s">
        <v>42</v>
      </c>
      <c r="C468" s="319" t="s">
        <v>552</v>
      </c>
      <c r="D468" s="319" t="s">
        <v>585</v>
      </c>
      <c r="E468" s="319" t="s">
        <v>47</v>
      </c>
      <c r="F468" s="283">
        <v>0</v>
      </c>
      <c r="G468" s="283">
        <v>0</v>
      </c>
      <c r="H468" s="343">
        <f t="shared" si="32"/>
        <v>0</v>
      </c>
      <c r="I468" s="283">
        <v>0</v>
      </c>
      <c r="J468" s="283">
        <v>0</v>
      </c>
      <c r="P468" s="374"/>
      <c r="Q468" s="374" t="s">
        <v>42</v>
      </c>
      <c r="R468" s="374" t="s">
        <v>546</v>
      </c>
      <c r="S468" s="374" t="s">
        <v>614</v>
      </c>
      <c r="T468" s="374" t="s">
        <v>44</v>
      </c>
      <c r="U468" s="386">
        <f t="shared" si="33"/>
        <v>407945.02</v>
      </c>
      <c r="V468" s="387">
        <v>241309.55</v>
      </c>
      <c r="W468" s="388">
        <v>166635.47</v>
      </c>
      <c r="X468" s="386">
        <f t="shared" si="34"/>
        <v>407945.02</v>
      </c>
      <c r="Y468" s="387">
        <f>72167.86+111407.4</f>
        <v>183575.26</v>
      </c>
      <c r="Z468" s="388">
        <f>136164.6+88205.16</f>
        <v>224369.76</v>
      </c>
      <c r="AA468" s="386">
        <f t="shared" si="35"/>
        <v>407945.02</v>
      </c>
      <c r="AB468" s="387">
        <f>111407.4+72167.86</f>
        <v>183575.26</v>
      </c>
      <c r="AC468" s="388">
        <f>136164.6+88205.16</f>
        <v>224369.76</v>
      </c>
    </row>
    <row r="469" spans="2:29" s="319" customFormat="1">
      <c r="B469" s="319" t="s">
        <v>42</v>
      </c>
      <c r="C469" s="319" t="s">
        <v>546</v>
      </c>
      <c r="D469" s="319" t="s">
        <v>585</v>
      </c>
      <c r="E469" s="347">
        <v>342</v>
      </c>
      <c r="F469" s="283">
        <v>51570</v>
      </c>
      <c r="G469" s="283">
        <f>G382</f>
        <v>51570</v>
      </c>
      <c r="H469" s="343">
        <f t="shared" si="32"/>
        <v>0</v>
      </c>
      <c r="I469" s="283">
        <f>J382</f>
        <v>51570</v>
      </c>
      <c r="J469" s="283">
        <f>M382</f>
        <v>51570</v>
      </c>
      <c r="P469" s="374"/>
      <c r="Q469" s="374" t="s">
        <v>42</v>
      </c>
      <c r="R469" s="374" t="s">
        <v>546</v>
      </c>
      <c r="S469" s="374" t="s">
        <v>614</v>
      </c>
      <c r="T469" s="374" t="s">
        <v>45</v>
      </c>
      <c r="U469" s="392">
        <f t="shared" si="33"/>
        <v>920264</v>
      </c>
      <c r="V469" s="389">
        <f>506011.26+295558.74</f>
        <v>801570</v>
      </c>
      <c r="W469" s="388">
        <v>118694</v>
      </c>
      <c r="X469" s="392">
        <f t="shared" si="34"/>
        <v>931405.93</v>
      </c>
      <c r="Y469" s="389">
        <f>486626.07+30527.12+293206.68-261.48</f>
        <v>810098.39</v>
      </c>
      <c r="Z469" s="388">
        <f>114146.86+7160.68</f>
        <v>121307.54</v>
      </c>
      <c r="AA469" s="392">
        <f t="shared" si="35"/>
        <v>944903.85</v>
      </c>
      <c r="AB469" s="389">
        <f>500123.99+30527.12+289779.03</f>
        <v>820430.14</v>
      </c>
      <c r="AC469" s="388">
        <f>117313.03+7160.68</f>
        <v>124473.71</v>
      </c>
    </row>
    <row r="470" spans="2:29">
      <c r="B470" s="319" t="s">
        <v>42</v>
      </c>
      <c r="C470" s="319" t="s">
        <v>546</v>
      </c>
      <c r="D470" s="319" t="s">
        <v>585</v>
      </c>
      <c r="E470" s="319" t="s">
        <v>48</v>
      </c>
      <c r="F470" s="283">
        <v>6171.52</v>
      </c>
      <c r="G470" s="283">
        <f>G376</f>
        <v>17864.91</v>
      </c>
      <c r="H470" s="343">
        <f t="shared" si="32"/>
        <v>-11693.39</v>
      </c>
      <c r="I470" s="283">
        <f>J376</f>
        <v>20977.18</v>
      </c>
      <c r="J470" s="283">
        <f>M376</f>
        <v>20789.150000000001</v>
      </c>
      <c r="P470" s="374"/>
      <c r="Q470" s="374" t="s">
        <v>42</v>
      </c>
      <c r="R470" s="374" t="s">
        <v>546</v>
      </c>
      <c r="S470" s="374" t="s">
        <v>614</v>
      </c>
      <c r="T470" s="374" t="s">
        <v>118</v>
      </c>
      <c r="U470" s="386">
        <f t="shared" si="33"/>
        <v>12428476.800000001</v>
      </c>
      <c r="V470" s="387">
        <v>12428476.800000001</v>
      </c>
      <c r="W470" s="388"/>
      <c r="X470" s="386">
        <f t="shared" si="34"/>
        <v>12428476.800000001</v>
      </c>
      <c r="Y470" s="387">
        <v>12428476.800000001</v>
      </c>
      <c r="Z470" s="388">
        <v>0</v>
      </c>
      <c r="AA470" s="386">
        <f t="shared" si="35"/>
        <v>4721038.38</v>
      </c>
      <c r="AB470" s="387">
        <v>4721038.38</v>
      </c>
      <c r="AC470" s="388">
        <v>0</v>
      </c>
    </row>
    <row r="471" spans="2:29" s="319" customFormat="1">
      <c r="B471" s="319" t="s">
        <v>42</v>
      </c>
      <c r="C471" s="319" t="s">
        <v>546</v>
      </c>
      <c r="D471" s="319" t="s">
        <v>585</v>
      </c>
      <c r="E471" s="319" t="s">
        <v>49</v>
      </c>
      <c r="F471" s="283">
        <f>W480</f>
        <v>537923.11</v>
      </c>
      <c r="G471" s="283">
        <f>G373+G374+G375+G377+G378+G379</f>
        <v>758034.1</v>
      </c>
      <c r="H471" s="343">
        <f t="shared" si="32"/>
        <v>-220110.99</v>
      </c>
      <c r="I471" s="283">
        <f>J373+J374+J375+J377+J378+J379</f>
        <v>758034.1</v>
      </c>
      <c r="J471" s="283">
        <f>M373+M374+M375+M377+M378+M379</f>
        <v>758034.1</v>
      </c>
      <c r="P471" s="374"/>
      <c r="Q471" s="374" t="s">
        <v>42</v>
      </c>
      <c r="R471" s="374" t="s">
        <v>546</v>
      </c>
      <c r="S471" s="374" t="s">
        <v>614</v>
      </c>
      <c r="T471" s="374" t="s">
        <v>46</v>
      </c>
      <c r="U471" s="386">
        <f t="shared" si="33"/>
        <v>600593.46</v>
      </c>
      <c r="V471" s="387">
        <v>486480.7</v>
      </c>
      <c r="W471" s="388">
        <v>114112.76</v>
      </c>
      <c r="X471" s="386">
        <f t="shared" si="34"/>
        <v>513343.46</v>
      </c>
      <c r="Y471" s="389">
        <f>414252.74+10327.5+72227.96-100000</f>
        <v>396808.2</v>
      </c>
      <c r="Z471" s="388">
        <f>97170.4+2422.5+16942.36</f>
        <v>116535.26</v>
      </c>
      <c r="AA471" s="386">
        <f t="shared" si="35"/>
        <v>516301.48</v>
      </c>
      <c r="AB471" s="389">
        <f>605.9+12117.6+72227.96+414252.74-100000</f>
        <v>399204.2</v>
      </c>
      <c r="AC471" s="388">
        <f>142.12+2842.4+16942.36+97170.4</f>
        <v>117097.28</v>
      </c>
    </row>
    <row r="472" spans="2:29">
      <c r="B472" s="29" t="s">
        <v>42</v>
      </c>
      <c r="C472" s="29" t="s">
        <v>551</v>
      </c>
      <c r="D472" s="29" t="s">
        <v>585</v>
      </c>
      <c r="E472" s="29" t="s">
        <v>49</v>
      </c>
      <c r="F472" s="38">
        <v>0</v>
      </c>
      <c r="G472" s="38">
        <v>0</v>
      </c>
      <c r="H472" s="343">
        <f t="shared" si="32"/>
        <v>0</v>
      </c>
      <c r="I472" s="38"/>
      <c r="J472" s="38"/>
      <c r="P472" s="374"/>
      <c r="Q472" s="374" t="s">
        <v>42</v>
      </c>
      <c r="R472" s="374" t="s">
        <v>546</v>
      </c>
      <c r="S472" s="374" t="s">
        <v>614</v>
      </c>
      <c r="T472" s="374" t="s">
        <v>37</v>
      </c>
      <c r="U472" s="386">
        <f t="shared" si="33"/>
        <v>4759765.8600000003</v>
      </c>
      <c r="V472" s="387">
        <v>1627327.84</v>
      </c>
      <c r="W472" s="388">
        <v>3132438.02</v>
      </c>
      <c r="X472" s="386">
        <f t="shared" si="34"/>
        <v>4042779.12</v>
      </c>
      <c r="Y472" s="387">
        <f>508187.52+91560.46+13175.95+111780+153750.96+94951.57+43046.64+30115.48</f>
        <v>1046568.58</v>
      </c>
      <c r="Z472" s="388">
        <f>119204.48+21477.14+3090.65+26220+36065.04+22272.59+1383821.9+622720+10097.36+7064.12+307932+17655.26+418590</f>
        <v>2996210.54</v>
      </c>
      <c r="AA472" s="386">
        <f>AB472+AC472</f>
        <v>3963038.16</v>
      </c>
      <c r="AB472" s="389">
        <f>30115.48+43046.64+102547.75+153750.96+111780+13527+91560.46+508187.52-89552.36</f>
        <v>964963.45</v>
      </c>
      <c r="AC472" s="388">
        <v>2998074.71</v>
      </c>
    </row>
    <row r="473" spans="2:29" s="319" customFormat="1">
      <c r="B473" s="319" t="s">
        <v>40</v>
      </c>
      <c r="C473" s="319" t="s">
        <v>546</v>
      </c>
      <c r="D473" s="319" t="s">
        <v>585</v>
      </c>
      <c r="E473" s="319" t="s">
        <v>41</v>
      </c>
      <c r="F473" s="283">
        <v>6460.4</v>
      </c>
      <c r="G473" s="283">
        <f>'Лист10(213,221-223,266,291-297)'!F52</f>
        <v>6460.4</v>
      </c>
      <c r="H473" s="343">
        <f t="shared" si="32"/>
        <v>0</v>
      </c>
      <c r="I473" s="283">
        <f>'Лист10(213,221-223,266,291-297)'!J52</f>
        <v>6460.4</v>
      </c>
      <c r="J473" s="283">
        <f>'Лист10(213,221-223,266,291-297)'!N52</f>
        <v>6460.4</v>
      </c>
      <c r="P473" s="374"/>
      <c r="Q473" s="374" t="s">
        <v>42</v>
      </c>
      <c r="R473" s="374" t="s">
        <v>551</v>
      </c>
      <c r="S473" s="374" t="s">
        <v>614</v>
      </c>
      <c r="T473" s="374" t="s">
        <v>37</v>
      </c>
      <c r="U473" s="386">
        <f t="shared" si="33"/>
        <v>2175316.06</v>
      </c>
      <c r="V473" s="387">
        <v>2175316.06</v>
      </c>
      <c r="W473" s="388"/>
      <c r="X473" s="386">
        <f t="shared" si="34"/>
        <v>2168787.38</v>
      </c>
      <c r="Y473" s="387">
        <v>2168787.38</v>
      </c>
      <c r="Z473" s="388"/>
      <c r="AA473" s="386">
        <f t="shared" ref="AA473:AA485" si="36">AB473+AC473</f>
        <v>2294502.7799999998</v>
      </c>
      <c r="AB473" s="387">
        <v>2294502.7799999998</v>
      </c>
      <c r="AC473" s="388">
        <v>0</v>
      </c>
    </row>
    <row r="474" spans="2:29" s="319" customFormat="1">
      <c r="E474" s="319">
        <v>295</v>
      </c>
      <c r="F474" s="283">
        <f>W483</f>
        <v>588824.12</v>
      </c>
      <c r="G474" s="283"/>
      <c r="H474" s="343"/>
      <c r="I474" s="283"/>
      <c r="J474" s="283"/>
      <c r="P474" s="374"/>
      <c r="Q474" s="374"/>
      <c r="R474" s="374"/>
      <c r="S474" s="374"/>
      <c r="T474" s="374"/>
      <c r="U474" s="386"/>
      <c r="V474" s="387"/>
      <c r="W474" s="388"/>
      <c r="X474" s="386"/>
      <c r="Y474" s="387"/>
      <c r="Z474" s="388"/>
      <c r="AA474" s="386"/>
      <c r="AB474" s="387"/>
      <c r="AC474" s="388"/>
    </row>
    <row r="475" spans="2:29">
      <c r="F475" s="38">
        <f>SUM(F446:F474)</f>
        <v>11490000</v>
      </c>
      <c r="G475" s="38"/>
      <c r="H475" s="343">
        <f t="shared" si="32"/>
        <v>11490000</v>
      </c>
      <c r="I475" s="38"/>
      <c r="J475" s="38"/>
      <c r="P475" s="374"/>
      <c r="Q475" s="374" t="s">
        <v>42</v>
      </c>
      <c r="R475" s="374" t="s">
        <v>552</v>
      </c>
      <c r="S475" s="374" t="s">
        <v>614</v>
      </c>
      <c r="T475" s="374">
        <v>226</v>
      </c>
      <c r="U475" s="386">
        <f t="shared" si="33"/>
        <v>657987.48</v>
      </c>
      <c r="V475" s="387">
        <v>657987.48</v>
      </c>
      <c r="W475" s="388"/>
      <c r="X475" s="386">
        <f t="shared" si="34"/>
        <v>0</v>
      </c>
      <c r="Y475" s="387"/>
      <c r="Z475" s="388"/>
      <c r="AA475" s="386">
        <f t="shared" si="36"/>
        <v>0</v>
      </c>
      <c r="AB475" s="387"/>
      <c r="AC475" s="388"/>
    </row>
    <row r="476" spans="2:29">
      <c r="F476" s="38">
        <v>11490000</v>
      </c>
      <c r="G476" s="38" t="e">
        <f>G471+G435</f>
        <v>#REF!</v>
      </c>
      <c r="H476" s="343" t="e">
        <f>H471+H435</f>
        <v>#REF!</v>
      </c>
      <c r="I476" s="38" t="e">
        <f>I471+I435</f>
        <v>#REF!</v>
      </c>
      <c r="J476" s="38" t="e">
        <f>J471+J435</f>
        <v>#REF!</v>
      </c>
      <c r="P476" s="374" t="s">
        <v>590</v>
      </c>
      <c r="Q476" s="374" t="s">
        <v>42</v>
      </c>
      <c r="R476" s="374" t="s">
        <v>552</v>
      </c>
      <c r="S476" s="374" t="s">
        <v>553</v>
      </c>
      <c r="T476" s="374">
        <v>226</v>
      </c>
      <c r="U476" s="386">
        <f t="shared" si="33"/>
        <v>34630.9</v>
      </c>
      <c r="V476" s="387">
        <v>34630.9</v>
      </c>
      <c r="W476" s="388"/>
      <c r="X476" s="386">
        <f t="shared" si="34"/>
        <v>0</v>
      </c>
      <c r="Y476" s="387"/>
      <c r="Z476" s="388"/>
      <c r="AA476" s="386">
        <f t="shared" si="36"/>
        <v>0</v>
      </c>
      <c r="AB476" s="387"/>
      <c r="AC476" s="388"/>
    </row>
    <row r="477" spans="2:29" s="120" customFormat="1">
      <c r="F477" s="38"/>
      <c r="G477" s="38"/>
      <c r="H477" s="390"/>
      <c r="I477" s="38"/>
      <c r="J477" s="38"/>
      <c r="P477" s="374"/>
      <c r="Q477" s="374"/>
      <c r="R477" s="374"/>
      <c r="S477" s="374"/>
      <c r="T477" s="374">
        <v>310</v>
      </c>
      <c r="U477" s="386"/>
      <c r="V477" s="387"/>
      <c r="W477" s="346">
        <f>200000+100000</f>
        <v>300000</v>
      </c>
      <c r="X477" s="386"/>
      <c r="Y477" s="387"/>
      <c r="Z477" s="346">
        <v>200000</v>
      </c>
      <c r="AA477" s="386"/>
      <c r="AB477" s="387"/>
      <c r="AC477" s="346">
        <v>200000</v>
      </c>
    </row>
    <row r="478" spans="2:29">
      <c r="F478" s="38">
        <f>F475-F476</f>
        <v>0</v>
      </c>
      <c r="P478" s="374" t="s">
        <v>590</v>
      </c>
      <c r="Q478" s="374" t="s">
        <v>42</v>
      </c>
      <c r="R478" s="374" t="s">
        <v>552</v>
      </c>
      <c r="S478" s="374" t="s">
        <v>553</v>
      </c>
      <c r="T478" s="374">
        <v>346</v>
      </c>
      <c r="U478" s="386">
        <f t="shared" si="33"/>
        <v>188960.57</v>
      </c>
      <c r="V478" s="387">
        <v>188960.57</v>
      </c>
      <c r="W478" s="388"/>
      <c r="X478" s="386">
        <f t="shared" si="34"/>
        <v>0</v>
      </c>
      <c r="Y478" s="387"/>
      <c r="Z478" s="388"/>
      <c r="AA478" s="386">
        <f t="shared" si="36"/>
        <v>0</v>
      </c>
      <c r="AB478" s="387"/>
      <c r="AC478" s="388"/>
    </row>
    <row r="479" spans="2:29">
      <c r="G479" s="38"/>
      <c r="H479" s="38"/>
      <c r="I479" s="38"/>
      <c r="J479" s="38"/>
      <c r="K479" s="38"/>
      <c r="P479" s="374" t="s">
        <v>616</v>
      </c>
      <c r="Q479" s="374" t="s">
        <v>42</v>
      </c>
      <c r="R479" s="437" t="s">
        <v>615</v>
      </c>
      <c r="S479" s="374" t="s">
        <v>614</v>
      </c>
      <c r="T479" s="374" t="s">
        <v>48</v>
      </c>
      <c r="U479" s="386">
        <f t="shared" si="33"/>
        <v>32481.66</v>
      </c>
      <c r="V479" s="387">
        <v>26310.14</v>
      </c>
      <c r="W479" s="388">
        <v>6171.52</v>
      </c>
      <c r="X479" s="386">
        <f t="shared" si="34"/>
        <v>38140.339999999997</v>
      </c>
      <c r="Y479" s="387">
        <v>30893.68</v>
      </c>
      <c r="Z479" s="388">
        <v>7246.66</v>
      </c>
      <c r="AA479" s="386">
        <f t="shared" si="36"/>
        <v>37798.449999999997</v>
      </c>
      <c r="AB479" s="387">
        <v>30616.73</v>
      </c>
      <c r="AC479" s="388">
        <v>7181.72</v>
      </c>
    </row>
    <row r="480" spans="2:29">
      <c r="P480" s="374"/>
      <c r="Q480" s="374" t="s">
        <v>42</v>
      </c>
      <c r="R480" s="374" t="s">
        <v>546</v>
      </c>
      <c r="S480" s="374" t="s">
        <v>614</v>
      </c>
      <c r="T480" s="374" t="s">
        <v>49</v>
      </c>
      <c r="U480" s="386">
        <f t="shared" si="33"/>
        <v>725361.42</v>
      </c>
      <c r="V480" s="387">
        <v>187438.31</v>
      </c>
      <c r="W480" s="346">
        <f>737923.11-200000</f>
        <v>537923.11</v>
      </c>
      <c r="X480" s="386">
        <f t="shared" si="34"/>
        <v>578458.75</v>
      </c>
      <c r="Y480" s="389">
        <f>187438.31-100000+0.01</f>
        <v>87438.32</v>
      </c>
      <c r="Z480" s="388">
        <f>43967.01+80867.29+50013.29+286260.94+29911.9</f>
        <v>491020.43</v>
      </c>
      <c r="AA480" s="386">
        <f t="shared" si="36"/>
        <v>578458.74</v>
      </c>
      <c r="AB480" s="389">
        <f>187438.31-100000</f>
        <v>87438.31</v>
      </c>
      <c r="AC480" s="388">
        <f>43967.01+80867.29+50013.29+286260.94+29911.9</f>
        <v>491020.43</v>
      </c>
    </row>
    <row r="481" spans="16:29">
      <c r="P481" s="374"/>
      <c r="Q481" s="374" t="s">
        <v>42</v>
      </c>
      <c r="R481" s="374" t="s">
        <v>551</v>
      </c>
      <c r="S481" s="374" t="s">
        <v>614</v>
      </c>
      <c r="T481" s="374" t="s">
        <v>49</v>
      </c>
      <c r="U481" s="386">
        <f t="shared" si="33"/>
        <v>460603.27</v>
      </c>
      <c r="V481" s="387">
        <v>460603.27</v>
      </c>
      <c r="W481" s="388">
        <v>0</v>
      </c>
      <c r="X481" s="386">
        <f t="shared" si="34"/>
        <v>477131.95</v>
      </c>
      <c r="Y481" s="390">
        <f>467131.95+10000</f>
        <v>477131.95</v>
      </c>
      <c r="Z481" s="388"/>
      <c r="AA481" s="386">
        <f t="shared" si="36"/>
        <v>341416.55</v>
      </c>
      <c r="AB481" s="387">
        <v>341416.55</v>
      </c>
      <c r="AC481" s="388">
        <v>0</v>
      </c>
    </row>
    <row r="482" spans="16:29">
      <c r="P482" s="374"/>
      <c r="Q482" s="374" t="s">
        <v>40</v>
      </c>
      <c r="R482" s="374" t="s">
        <v>546</v>
      </c>
      <c r="S482" s="374" t="s">
        <v>614</v>
      </c>
      <c r="T482" s="374" t="s">
        <v>41</v>
      </c>
      <c r="U482" s="386">
        <f>V482+W482</f>
        <v>56526.33</v>
      </c>
      <c r="V482" s="391">
        <f>60988.31-10922.38</f>
        <v>50065.93</v>
      </c>
      <c r="W482" s="388">
        <v>6460.4</v>
      </c>
      <c r="X482" s="386">
        <f t="shared" si="34"/>
        <v>43633.54</v>
      </c>
      <c r="Y482" s="391">
        <f>60988.31-23815.17</f>
        <v>37173.14</v>
      </c>
      <c r="Z482" s="388">
        <v>6460.4</v>
      </c>
      <c r="AA482" s="386">
        <f t="shared" si="36"/>
        <v>47143.18</v>
      </c>
      <c r="AB482" s="391">
        <f>60988.31-20305.53</f>
        <v>40682.78</v>
      </c>
      <c r="AC482" s="388">
        <v>6460.4</v>
      </c>
    </row>
    <row r="483" spans="16:29" s="120" customFormat="1">
      <c r="P483" s="374"/>
      <c r="Q483" s="374"/>
      <c r="R483" s="374"/>
      <c r="S483" s="374"/>
      <c r="T483" s="374">
        <v>295</v>
      </c>
      <c r="U483" s="386">
        <f t="shared" si="33"/>
        <v>588824.12</v>
      </c>
      <c r="V483" s="389"/>
      <c r="W483" s="388">
        <v>588824.12</v>
      </c>
      <c r="X483" s="386">
        <f t="shared" si="34"/>
        <v>0</v>
      </c>
      <c r="Y483" s="389"/>
      <c r="Z483" s="388">
        <v>0</v>
      </c>
      <c r="AA483" s="386">
        <f t="shared" si="36"/>
        <v>0</v>
      </c>
      <c r="AB483" s="389"/>
      <c r="AC483" s="388">
        <v>0</v>
      </c>
    </row>
    <row r="484" spans="16:29">
      <c r="P484" s="374"/>
      <c r="Q484" s="374">
        <v>244</v>
      </c>
      <c r="R484" s="374"/>
      <c r="S484" s="374"/>
      <c r="T484" s="374">
        <v>342</v>
      </c>
      <c r="U484" s="386">
        <f t="shared" si="33"/>
        <v>51570</v>
      </c>
      <c r="V484" s="387"/>
      <c r="W484" s="388">
        <v>51570</v>
      </c>
      <c r="X484" s="386">
        <f t="shared" si="34"/>
        <v>51570</v>
      </c>
      <c r="Y484" s="387">
        <v>0</v>
      </c>
      <c r="Z484" s="388">
        <v>51570</v>
      </c>
      <c r="AA484" s="386">
        <f t="shared" si="36"/>
        <v>51570</v>
      </c>
      <c r="AB484" s="387"/>
      <c r="AC484" s="388">
        <v>51570</v>
      </c>
    </row>
    <row r="485" spans="16:29">
      <c r="P485" s="374"/>
      <c r="Q485" s="374">
        <v>244</v>
      </c>
      <c r="R485" s="374"/>
      <c r="S485" s="374"/>
      <c r="T485" s="374">
        <v>349</v>
      </c>
      <c r="U485" s="386">
        <f t="shared" si="33"/>
        <v>362549.12</v>
      </c>
      <c r="V485" s="387"/>
      <c r="W485" s="346">
        <f>1051373.24-588824.12-100000</f>
        <v>362549.12</v>
      </c>
      <c r="X485" s="386">
        <f t="shared" si="34"/>
        <v>851373.24</v>
      </c>
      <c r="Y485" s="387">
        <v>0</v>
      </c>
      <c r="Z485" s="346">
        <f>151800+899573.24-200000</f>
        <v>851373.24</v>
      </c>
      <c r="AA485" s="386">
        <f t="shared" si="36"/>
        <v>851373.24</v>
      </c>
      <c r="AB485" s="387"/>
      <c r="AC485" s="346">
        <f>151800+899573.24-200000</f>
        <v>851373.24</v>
      </c>
    </row>
    <row r="486" spans="16:29">
      <c r="P486" s="374"/>
      <c r="Q486" s="374"/>
      <c r="R486" s="374"/>
      <c r="S486" s="374"/>
      <c r="T486" s="374"/>
      <c r="U486" s="386">
        <f t="shared" si="33"/>
        <v>0</v>
      </c>
      <c r="V486" s="387"/>
      <c r="W486" s="458">
        <v>0</v>
      </c>
      <c r="X486" s="386">
        <f t="shared" si="34"/>
        <v>0</v>
      </c>
      <c r="Y486" s="387"/>
      <c r="Z486" s="388"/>
      <c r="AA486" s="386"/>
      <c r="AB486" s="387"/>
      <c r="AC486" s="388"/>
    </row>
    <row r="487" spans="16:29">
      <c r="P487" s="120"/>
      <c r="Q487" s="120"/>
      <c r="R487" s="120"/>
      <c r="S487" s="120"/>
      <c r="T487" s="120"/>
      <c r="U487" s="383">
        <f>SUM(U454:U486)</f>
        <v>75577404.700000003</v>
      </c>
      <c r="V487" s="383">
        <f>SUM(V454:V486)-V475-V476-V478+U494+V494+U495+V495+U496+V496</f>
        <v>64387404.700000003</v>
      </c>
      <c r="W487" s="383">
        <f t="shared" ref="W487:AC487" si="37">SUM(W454:W486)</f>
        <v>11490000</v>
      </c>
      <c r="X487" s="384">
        <f t="shared" si="37"/>
        <v>62476502.950000003</v>
      </c>
      <c r="Y487" s="385">
        <f t="shared" si="37"/>
        <v>51186502.950000003</v>
      </c>
      <c r="Z487" s="383">
        <f t="shared" si="37"/>
        <v>11490000</v>
      </c>
      <c r="AA487" s="384">
        <f t="shared" si="37"/>
        <v>57639751.079999998</v>
      </c>
      <c r="AB487" s="385">
        <f t="shared" si="37"/>
        <v>46349751.079999998</v>
      </c>
      <c r="AC487" s="383">
        <f t="shared" si="37"/>
        <v>11490000</v>
      </c>
    </row>
    <row r="488" spans="16:29">
      <c r="P488" s="120"/>
      <c r="Q488" s="120"/>
      <c r="R488" s="120"/>
      <c r="S488" s="120"/>
      <c r="T488" s="120"/>
      <c r="V488" s="38">
        <v>64387404.700000003</v>
      </c>
      <c r="W488" s="38">
        <v>11490000</v>
      </c>
      <c r="X488" s="120"/>
      <c r="Y488" s="38">
        <v>51186502.950000003</v>
      </c>
      <c r="Z488" s="38">
        <v>11490000</v>
      </c>
      <c r="AA488" s="38"/>
      <c r="AB488" s="38">
        <v>46349751.079999998</v>
      </c>
      <c r="AC488" s="38">
        <v>11490000</v>
      </c>
    </row>
    <row r="489" spans="16:29">
      <c r="V489" s="38">
        <f>V488-V487</f>
        <v>0</v>
      </c>
      <c r="W489" s="38">
        <f>W488-W487</f>
        <v>0</v>
      </c>
      <c r="Y489" s="38">
        <f>Y488-Y487</f>
        <v>0</v>
      </c>
      <c r="Z489" s="38">
        <f>Z488-Z487</f>
        <v>0</v>
      </c>
      <c r="AA489" s="38"/>
      <c r="AB489" s="38">
        <f>AB488-AB487</f>
        <v>0</v>
      </c>
      <c r="AC489" s="38">
        <f>AC488-AC487</f>
        <v>0</v>
      </c>
    </row>
    <row r="493" spans="16:29">
      <c r="U493" s="120">
        <v>226</v>
      </c>
      <c r="V493" s="29">
        <v>346</v>
      </c>
    </row>
    <row r="494" spans="16:29">
      <c r="Q494" s="29" t="s">
        <v>42</v>
      </c>
      <c r="R494" s="29" t="s">
        <v>552</v>
      </c>
      <c r="S494" s="29" t="s">
        <v>614</v>
      </c>
      <c r="U494" s="38">
        <v>34630.9</v>
      </c>
      <c r="V494" s="38">
        <v>9448.0499999999993</v>
      </c>
    </row>
    <row r="495" spans="16:29">
      <c r="P495" s="29" t="s">
        <v>590</v>
      </c>
      <c r="Q495" s="29" t="s">
        <v>42</v>
      </c>
      <c r="R495" s="29" t="s">
        <v>552</v>
      </c>
      <c r="S495" s="29" t="s">
        <v>553</v>
      </c>
      <c r="U495" s="38">
        <v>361868.12</v>
      </c>
      <c r="V495" s="38">
        <v>98731.88</v>
      </c>
    </row>
    <row r="496" spans="16:29">
      <c r="P496" s="29" t="s">
        <v>617</v>
      </c>
      <c r="Q496" s="29" t="s">
        <v>42</v>
      </c>
      <c r="R496" s="29" t="s">
        <v>552</v>
      </c>
      <c r="S496" s="29">
        <v>30015204</v>
      </c>
      <c r="U496" s="38">
        <v>296119.36</v>
      </c>
      <c r="V496" s="38">
        <v>80780.639999999999</v>
      </c>
    </row>
    <row r="497" spans="2:29">
      <c r="U497" s="38">
        <f>SUM(U494:U496)</f>
        <v>692618.38</v>
      </c>
      <c r="V497" s="38">
        <f>SUM(V494:V496)</f>
        <v>188960.57</v>
      </c>
      <c r="W497" s="38">
        <f>SUM(U497:V497)</f>
        <v>881578.95</v>
      </c>
    </row>
    <row r="499" spans="2:29">
      <c r="B499" s="1098" t="s">
        <v>667</v>
      </c>
      <c r="C499" s="1098"/>
    </row>
    <row r="501" spans="2:29">
      <c r="T501" s="29">
        <v>244</v>
      </c>
      <c r="U501" s="38">
        <f>V501+W501</f>
        <v>24019448</v>
      </c>
      <c r="V501" s="38">
        <f t="shared" ref="V501:AC501" si="38">V467+V468+V469+V470+V471+V472+V473+V479+V480+V481+V475+V476+V478+V484+V485</f>
        <v>19529354</v>
      </c>
      <c r="W501" s="38">
        <f t="shared" si="38"/>
        <v>4490094</v>
      </c>
      <c r="X501" s="38">
        <f t="shared" si="38"/>
        <v>22708114.390000001</v>
      </c>
      <c r="Y501" s="38">
        <f t="shared" si="38"/>
        <v>17848480.960000001</v>
      </c>
      <c r="Z501" s="38">
        <f t="shared" si="38"/>
        <v>4859633.43</v>
      </c>
      <c r="AA501" s="38">
        <f t="shared" si="38"/>
        <v>14933385.050000001</v>
      </c>
      <c r="AB501" s="38">
        <f t="shared" si="38"/>
        <v>10068224.199999999</v>
      </c>
      <c r="AC501" s="38">
        <f t="shared" si="38"/>
        <v>4865160.8499999996</v>
      </c>
    </row>
  </sheetData>
  <mergeCells count="315">
    <mergeCell ref="R450:AC452"/>
    <mergeCell ref="U453:W453"/>
    <mergeCell ref="X453:Z453"/>
    <mergeCell ref="AA453:AC453"/>
    <mergeCell ref="G417:G419"/>
    <mergeCell ref="H417:H419"/>
    <mergeCell ref="E95:G95"/>
    <mergeCell ref="H95:J95"/>
    <mergeCell ref="K95:M95"/>
    <mergeCell ref="H132:H133"/>
    <mergeCell ref="J132:J133"/>
    <mergeCell ref="K132:K133"/>
    <mergeCell ref="M132:M133"/>
    <mergeCell ref="U407:W407"/>
    <mergeCell ref="X407:Z407"/>
    <mergeCell ref="AA407:AC407"/>
    <mergeCell ref="B387:F388"/>
    <mergeCell ref="G387:I387"/>
    <mergeCell ref="B389:F389"/>
    <mergeCell ref="B390:F390"/>
    <mergeCell ref="B391:F391"/>
    <mergeCell ref="B392:F392"/>
    <mergeCell ref="R404:AC406"/>
    <mergeCell ref="B95:B96"/>
    <mergeCell ref="C95:C96"/>
    <mergeCell ref="D95:D96"/>
    <mergeCell ref="B122:B124"/>
    <mergeCell ref="C122:C124"/>
    <mergeCell ref="D122:D124"/>
    <mergeCell ref="E122:G122"/>
    <mergeCell ref="H122:J122"/>
    <mergeCell ref="K122:M122"/>
    <mergeCell ref="E123:E124"/>
    <mergeCell ref="F123:F124"/>
    <mergeCell ref="G123:G124"/>
    <mergeCell ref="H123:H124"/>
    <mergeCell ref="J123:J124"/>
    <mergeCell ref="K123:K124"/>
    <mergeCell ref="M123:M124"/>
    <mergeCell ref="B131:B133"/>
    <mergeCell ref="B86:B88"/>
    <mergeCell ref="C86:C88"/>
    <mergeCell ref="D86:D88"/>
    <mergeCell ref="E86:G86"/>
    <mergeCell ref="H86:J86"/>
    <mergeCell ref="K86:M86"/>
    <mergeCell ref="E87:E88"/>
    <mergeCell ref="F87:F88"/>
    <mergeCell ref="G87:G88"/>
    <mergeCell ref="H87:H88"/>
    <mergeCell ref="I87:I88"/>
    <mergeCell ref="J87:J88"/>
    <mergeCell ref="K87:K88"/>
    <mergeCell ref="L87:L88"/>
    <mergeCell ref="M87:M88"/>
    <mergeCell ref="C131:C133"/>
    <mergeCell ref="D131:D133"/>
    <mergeCell ref="E131:G131"/>
    <mergeCell ref="H131:J131"/>
    <mergeCell ref="K131:M131"/>
    <mergeCell ref="E132:E133"/>
    <mergeCell ref="F132:F133"/>
    <mergeCell ref="G132:G133"/>
    <mergeCell ref="B7:B9"/>
    <mergeCell ref="C7:C9"/>
    <mergeCell ref="D7:F7"/>
    <mergeCell ref="G7:I7"/>
    <mergeCell ref="J7:L7"/>
    <mergeCell ref="D8:D9"/>
    <mergeCell ref="F8:F9"/>
    <mergeCell ref="G8:G9"/>
    <mergeCell ref="I8:I9"/>
    <mergeCell ref="J8:J9"/>
    <mergeCell ref="L8:L9"/>
    <mergeCell ref="B19:B21"/>
    <mergeCell ref="C19:C21"/>
    <mergeCell ref="D19:F19"/>
    <mergeCell ref="G19:I19"/>
    <mergeCell ref="J19:L19"/>
    <mergeCell ref="D20:D21"/>
    <mergeCell ref="F20:F21"/>
    <mergeCell ref="G20:G21"/>
    <mergeCell ref="I20:I21"/>
    <mergeCell ref="J20:J21"/>
    <mergeCell ref="L20:L21"/>
    <mergeCell ref="B32:B34"/>
    <mergeCell ref="C32:C34"/>
    <mergeCell ref="D32:G32"/>
    <mergeCell ref="H32:K32"/>
    <mergeCell ref="L32:O32"/>
    <mergeCell ref="D33:D34"/>
    <mergeCell ref="F33:F34"/>
    <mergeCell ref="G33:G34"/>
    <mergeCell ref="H33:H34"/>
    <mergeCell ref="J33:J34"/>
    <mergeCell ref="K33:K34"/>
    <mergeCell ref="L33:L34"/>
    <mergeCell ref="N33:N34"/>
    <mergeCell ref="O33:O34"/>
    <mergeCell ref="B42:B44"/>
    <mergeCell ref="C42:C44"/>
    <mergeCell ref="D42:G42"/>
    <mergeCell ref="H42:K42"/>
    <mergeCell ref="L42:O42"/>
    <mergeCell ref="D43:D44"/>
    <mergeCell ref="F43:F44"/>
    <mergeCell ref="G43:G44"/>
    <mergeCell ref="H43:H44"/>
    <mergeCell ref="J43:J44"/>
    <mergeCell ref="K43:K44"/>
    <mergeCell ref="L43:L44"/>
    <mergeCell ref="N43:N44"/>
    <mergeCell ref="O43:O44"/>
    <mergeCell ref="B54:B56"/>
    <mergeCell ref="C54:C56"/>
    <mergeCell ref="D54:D56"/>
    <mergeCell ref="E54:G54"/>
    <mergeCell ref="H54:J54"/>
    <mergeCell ref="K54:M54"/>
    <mergeCell ref="E55:E56"/>
    <mergeCell ref="F55:F56"/>
    <mergeCell ref="G55:G56"/>
    <mergeCell ref="H55:H56"/>
    <mergeCell ref="I55:I56"/>
    <mergeCell ref="J55:J56"/>
    <mergeCell ref="K55:K56"/>
    <mergeCell ref="L55:L56"/>
    <mergeCell ref="M55:M56"/>
    <mergeCell ref="B76:B78"/>
    <mergeCell ref="C76:C78"/>
    <mergeCell ref="D76:D78"/>
    <mergeCell ref="E76:G76"/>
    <mergeCell ref="H76:J76"/>
    <mergeCell ref="K76:M76"/>
    <mergeCell ref="E77:E78"/>
    <mergeCell ref="F77:F78"/>
    <mergeCell ref="G77:G78"/>
    <mergeCell ref="H77:H78"/>
    <mergeCell ref="I77:I78"/>
    <mergeCell ref="J77:J78"/>
    <mergeCell ref="K77:K78"/>
    <mergeCell ref="L77:L78"/>
    <mergeCell ref="M77:M78"/>
    <mergeCell ref="B140:B142"/>
    <mergeCell ref="C140:C142"/>
    <mergeCell ref="D140:D142"/>
    <mergeCell ref="E140:G140"/>
    <mergeCell ref="H140:J140"/>
    <mergeCell ref="K140:M140"/>
    <mergeCell ref="E141:E142"/>
    <mergeCell ref="F141:F142"/>
    <mergeCell ref="G141:G142"/>
    <mergeCell ref="H141:H142"/>
    <mergeCell ref="J141:J142"/>
    <mergeCell ref="K141:K142"/>
    <mergeCell ref="M141:M142"/>
    <mergeCell ref="B147:B149"/>
    <mergeCell ref="C147:C149"/>
    <mergeCell ref="D147:D149"/>
    <mergeCell ref="E147:G147"/>
    <mergeCell ref="H147:J147"/>
    <mergeCell ref="K147:M147"/>
    <mergeCell ref="E148:E149"/>
    <mergeCell ref="F148:F149"/>
    <mergeCell ref="G148:G149"/>
    <mergeCell ref="H148:H149"/>
    <mergeCell ref="J148:J149"/>
    <mergeCell ref="K148:K149"/>
    <mergeCell ref="M148:M149"/>
    <mergeCell ref="B161:B163"/>
    <mergeCell ref="C161:C163"/>
    <mergeCell ref="D161:D163"/>
    <mergeCell ref="E161:G161"/>
    <mergeCell ref="H161:J161"/>
    <mergeCell ref="K161:M161"/>
    <mergeCell ref="E162:E163"/>
    <mergeCell ref="F162:F163"/>
    <mergeCell ref="G162:G163"/>
    <mergeCell ref="H162:H163"/>
    <mergeCell ref="J162:J163"/>
    <mergeCell ref="K162:K163"/>
    <mergeCell ref="M162:M163"/>
    <mergeCell ref="I162:I163"/>
    <mergeCell ref="L162:L163"/>
    <mergeCell ref="B262:B264"/>
    <mergeCell ref="C262:C264"/>
    <mergeCell ref="D262:D264"/>
    <mergeCell ref="E262:G262"/>
    <mergeCell ref="H262:J262"/>
    <mergeCell ref="K262:M262"/>
    <mergeCell ref="E263:E264"/>
    <mergeCell ref="F263:F264"/>
    <mergeCell ref="G263:G264"/>
    <mergeCell ref="H263:H264"/>
    <mergeCell ref="J263:J264"/>
    <mergeCell ref="K263:K264"/>
    <mergeCell ref="M263:M264"/>
    <mergeCell ref="B286:B288"/>
    <mergeCell ref="C286:C288"/>
    <mergeCell ref="D286:D288"/>
    <mergeCell ref="E286:G286"/>
    <mergeCell ref="H286:J286"/>
    <mergeCell ref="K286:M286"/>
    <mergeCell ref="E287:E288"/>
    <mergeCell ref="F287:F288"/>
    <mergeCell ref="G287:G288"/>
    <mergeCell ref="H287:H288"/>
    <mergeCell ref="J287:J288"/>
    <mergeCell ref="K287:K288"/>
    <mergeCell ref="M287:M288"/>
    <mergeCell ref="B296:B298"/>
    <mergeCell ref="C296:C298"/>
    <mergeCell ref="D296:D298"/>
    <mergeCell ref="E296:G296"/>
    <mergeCell ref="H296:J296"/>
    <mergeCell ref="K296:M296"/>
    <mergeCell ref="E297:E298"/>
    <mergeCell ref="F297:F298"/>
    <mergeCell ref="G297:G298"/>
    <mergeCell ref="H297:H298"/>
    <mergeCell ref="J297:J298"/>
    <mergeCell ref="K297:K298"/>
    <mergeCell ref="M297:M298"/>
    <mergeCell ref="B307:B309"/>
    <mergeCell ref="C307:C309"/>
    <mergeCell ref="D307:D309"/>
    <mergeCell ref="E307:G307"/>
    <mergeCell ref="H307:J307"/>
    <mergeCell ref="K307:M307"/>
    <mergeCell ref="E308:E309"/>
    <mergeCell ref="F308:F309"/>
    <mergeCell ref="G308:G309"/>
    <mergeCell ref="H308:H309"/>
    <mergeCell ref="J308:J309"/>
    <mergeCell ref="K308:K309"/>
    <mergeCell ref="M308:M309"/>
    <mergeCell ref="B317:B319"/>
    <mergeCell ref="C317:C319"/>
    <mergeCell ref="D317:D319"/>
    <mergeCell ref="E317:G317"/>
    <mergeCell ref="H317:J317"/>
    <mergeCell ref="K317:M317"/>
    <mergeCell ref="E318:E319"/>
    <mergeCell ref="F318:F319"/>
    <mergeCell ref="G318:G319"/>
    <mergeCell ref="H318:H319"/>
    <mergeCell ref="J318:J319"/>
    <mergeCell ref="K318:K319"/>
    <mergeCell ref="M318:M319"/>
    <mergeCell ref="B327:B329"/>
    <mergeCell ref="C327:C329"/>
    <mergeCell ref="D327:D329"/>
    <mergeCell ref="E327:G327"/>
    <mergeCell ref="H327:J327"/>
    <mergeCell ref="K327:M327"/>
    <mergeCell ref="E328:E329"/>
    <mergeCell ref="F328:F329"/>
    <mergeCell ref="G328:G329"/>
    <mergeCell ref="H328:H329"/>
    <mergeCell ref="J328:J329"/>
    <mergeCell ref="K328:K329"/>
    <mergeCell ref="M328:M329"/>
    <mergeCell ref="B337:B339"/>
    <mergeCell ref="C337:C339"/>
    <mergeCell ref="D337:D339"/>
    <mergeCell ref="E337:G337"/>
    <mergeCell ref="H337:J337"/>
    <mergeCell ref="K337:M337"/>
    <mergeCell ref="E338:E339"/>
    <mergeCell ref="F338:F339"/>
    <mergeCell ref="G338:G339"/>
    <mergeCell ref="H338:H339"/>
    <mergeCell ref="J338:J339"/>
    <mergeCell ref="K338:K339"/>
    <mergeCell ref="M338:M339"/>
    <mergeCell ref="J371:J372"/>
    <mergeCell ref="K371:K372"/>
    <mergeCell ref="M371:M372"/>
    <mergeCell ref="B351:B353"/>
    <mergeCell ref="C351:C353"/>
    <mergeCell ref="D351:D353"/>
    <mergeCell ref="E351:G351"/>
    <mergeCell ref="H351:J351"/>
    <mergeCell ref="K351:M351"/>
    <mergeCell ref="E352:E353"/>
    <mergeCell ref="F352:F353"/>
    <mergeCell ref="G352:G353"/>
    <mergeCell ref="H352:H353"/>
    <mergeCell ref="J352:J353"/>
    <mergeCell ref="K352:K353"/>
    <mergeCell ref="M352:M353"/>
    <mergeCell ref="B499:C499"/>
    <mergeCell ref="B274:B276"/>
    <mergeCell ref="C274:C276"/>
    <mergeCell ref="D274:D276"/>
    <mergeCell ref="E274:G274"/>
    <mergeCell ref="H274:J274"/>
    <mergeCell ref="K274:M274"/>
    <mergeCell ref="E275:E276"/>
    <mergeCell ref="F275:F276"/>
    <mergeCell ref="G275:G276"/>
    <mergeCell ref="H275:H276"/>
    <mergeCell ref="J275:J276"/>
    <mergeCell ref="K275:K276"/>
    <mergeCell ref="M275:M276"/>
    <mergeCell ref="B370:B372"/>
    <mergeCell ref="C370:C372"/>
    <mergeCell ref="D370:D372"/>
    <mergeCell ref="E370:G370"/>
    <mergeCell ref="H370:J370"/>
    <mergeCell ref="K370:M370"/>
    <mergeCell ref="E371:E372"/>
    <mergeCell ref="F371:F372"/>
    <mergeCell ref="G371:G372"/>
    <mergeCell ref="H371:H372"/>
  </mergeCells>
  <pageMargins left="0.78740157480314965" right="0.39370078740157483" top="0.39370078740157483" bottom="0.39370078740157483" header="0.31496062992125984" footer="0.31496062992125984"/>
  <pageSetup paperSize="9" scale="10" orientation="portrait" horizontalDpi="4294967295" verticalDpi="4294967295" r:id="rId1"/>
  <rowBreaks count="1" manualBreakCount="1">
    <brk id="116"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28</vt:i4>
      </vt:variant>
    </vt:vector>
  </HeadingPairs>
  <TitlesOfParts>
    <vt:vector size="45" baseType="lpstr">
      <vt:lpstr>Титульный</vt:lpstr>
      <vt:lpstr>Поступления и выплаты</vt:lpstr>
      <vt:lpstr>НАБЛЮДАТЕЛЬНЫЙ</vt:lpstr>
      <vt:lpstr>ФХД_ Сведения по выплатам</vt:lpstr>
      <vt:lpstr>Лист4(130,150)</vt:lpstr>
      <vt:lpstr>Лист6(211,212,226,266)</vt:lpstr>
      <vt:lpstr>Лист10(213,221-223,266,291-297)</vt:lpstr>
      <vt:lpstr>Лист11(225)</vt:lpstr>
      <vt:lpstr>Лист12(224,225,226,310,342-349</vt:lpstr>
      <vt:lpstr>226 112</vt:lpstr>
      <vt:lpstr>КВФО 2 КВР 853 295 и 241</vt:lpstr>
      <vt:lpstr>КВФО 2 и 4 221</vt:lpstr>
      <vt:lpstr>КВФО 2 и 4 222</vt:lpstr>
      <vt:lpstr>2 и 4 225</vt:lpstr>
      <vt:lpstr>2 и 4 226</vt:lpstr>
      <vt:lpstr>КВФО 2 и 4 223</vt:lpstr>
      <vt:lpstr>КВФО 2,4,5 КОСГУ 310342345346</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'ФХД_ Сведения по выплатам'!IS_DOCUMENT</vt:lpstr>
      <vt:lpstr>'Поступления и выплаты'!Print_Titles</vt:lpstr>
      <vt:lpstr>'2 и 4 225'!Область_печати</vt:lpstr>
      <vt:lpstr>'2 и 4 226'!Область_печати</vt:lpstr>
      <vt:lpstr>'226 112'!Область_печати</vt:lpstr>
      <vt:lpstr>'КВФО 2 и 4 221'!Область_печати</vt:lpstr>
      <vt:lpstr>'КВФО 2 и 4 222'!Область_печати</vt:lpstr>
      <vt:lpstr>'КВФО 2 и 4 223'!Область_печати</vt:lpstr>
      <vt:lpstr>'КВФО 2 КВР 853 295 и 241'!Область_печати</vt:lpstr>
      <vt:lpstr>'КВФО 2,4,5 КОСГУ 310342345346'!Область_печати</vt:lpstr>
      <vt:lpstr>'Лист10(213,221-223,266,291-297)'!Область_печати</vt:lpstr>
      <vt:lpstr>'Лист11(225)'!Область_печати</vt:lpstr>
      <vt:lpstr>'Лист12(224,225,226,310,342-349'!Область_печати</vt:lpstr>
      <vt:lpstr>'Лист4(130,150)'!Область_печати</vt:lpstr>
      <vt:lpstr>'Лист6(211,212,226,266)'!Область_печати</vt:lpstr>
      <vt:lpstr>'Поступления и выплаты'!Область_печати</vt:lpstr>
      <vt:lpstr>Титульный!Область_печати</vt:lpstr>
      <vt:lpstr>'ФХД_ Сведения по выплатам'!Область_печати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2023-12-29T04:39:50Z</cp:lastPrinted>
  <dcterms:created xsi:type="dcterms:W3CDTF">2006-09-16T00:00:00Z</dcterms:created>
  <dcterms:modified xsi:type="dcterms:W3CDTF">2024-01-12T10:02:02Z</dcterms:modified>
</cp:coreProperties>
</file>