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5345" yWindow="120" windowWidth="13380" windowHeight="12450" tabRatio="893" activeTab="2"/>
  </bookViews>
  <sheets>
    <sheet name="Титульный" sheetId="1" r:id="rId1"/>
    <sheet name="ФХД_ Поступления и выплаты" sheetId="2" state="hidden" r:id="rId2"/>
    <sheet name="Поступления и выплаты" sheetId="3" r:id="rId3"/>
    <sheet name="ФХД_ Поступления и выплаты АЦК" sheetId="4" state="hidden" r:id="rId4"/>
    <sheet name="ФХД_ Сведения по выплатам на з" sheetId="5" state="hidden" r:id="rId5"/>
    <sheet name="Лист3" sheetId="6" state="hidden" r:id="rId6"/>
    <sheet name="ФХД_ Сведения по выплатам н (2" sheetId="7" state="hidden" r:id="rId7"/>
    <sheet name="ФХД_ Сведения по выплатам АЦК" sheetId="8" state="hidden" r:id="rId8"/>
    <sheet name="НАБЛЮДАТЕЛЬНЫЙ" sheetId="9" state="hidden" r:id="rId9"/>
    <sheet name="Лист4(130,150)" sheetId="11" state="hidden" r:id="rId10"/>
    <sheet name="Лист6(211,212,226,266)" sheetId="13" state="hidden" r:id="rId11"/>
    <sheet name="Лист7(214,266)" sheetId="14" state="hidden" r:id="rId12"/>
    <sheet name="ФХД_ Сведения по выплатам" sheetId="10" r:id="rId13"/>
    <sheet name="Лист11(225)" sheetId="17" state="hidden" r:id="rId14"/>
    <sheet name="Лист12(224,225,226,310,342-349" sheetId="18" state="hidden" r:id="rId15"/>
  </sheets>
  <externalReferences>
    <externalReference r:id="rId16"/>
  </externalReferences>
  <definedNames>
    <definedName name="_edn1" localSheetId="2">'Поступления и выплаты'!$A$127</definedName>
    <definedName name="_edn1" localSheetId="0">Титульный!#REF!</definedName>
    <definedName name="_edn2" localSheetId="2">'Поступления и выплаты'!$A$128</definedName>
    <definedName name="_edn2" localSheetId="0">Титульный!#REF!</definedName>
    <definedName name="_edn3" localSheetId="2">'Поступления и выплаты'!$A$129</definedName>
    <definedName name="_edn3" localSheetId="0">Титульный!#REF!</definedName>
    <definedName name="_edn4" localSheetId="2">'Поступления и выплаты'!$A$135</definedName>
    <definedName name="_edn4" localSheetId="0">Титульный!#REF!</definedName>
    <definedName name="_edn5" localSheetId="2">'Поступления и выплаты'!$A$136</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Титульный!$A$22</definedName>
    <definedName name="_ednref2" localSheetId="2">'Поступления и выплаты'!#REF!</definedName>
    <definedName name="_ednref2" localSheetId="0">Титульный!$A$23</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выплаты'!$A$6</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12">'ФХД_ Сведения по выплатам'!$A$50</definedName>
    <definedName name="IS_DOCUMENT" localSheetId="7">'ФХД_ Сведения по выплатам АЦК'!$A$49</definedName>
    <definedName name="IS_DOCUMENT" localSheetId="6">'ФХД_ Сведения по выплатам н (2'!$A$40</definedName>
    <definedName name="IS_DOCUMENT" localSheetId="4">'ФХД_ Сведения по выплатам на з'!$A$33</definedName>
    <definedName name="Print_Titles" localSheetId="5">Лист3!$4:$6</definedName>
    <definedName name="Print_Titles" localSheetId="2">'Поступления и выплаты'!$2:$5</definedName>
    <definedName name="_xlnm.Print_Area" localSheetId="13">'Лист11(225)'!$A$1:$O$81</definedName>
    <definedName name="_xlnm.Print_Area" localSheetId="14">'Лист12(224,225,226,310,342-349'!$B$1:$O$294</definedName>
    <definedName name="_xlnm.Print_Area" localSheetId="5">Лист3!$A$1:$H$127</definedName>
    <definedName name="_xlnm.Print_Area" localSheetId="9">'Лист4(130,150)'!$A$1:$L$59</definedName>
    <definedName name="_xlnm.Print_Area" localSheetId="10">'Лист6(211,212,226,266)'!$A$1:$N$56</definedName>
    <definedName name="_xlnm.Print_Area" localSheetId="11">'Лист7(214,266)'!$A$1:$N$65</definedName>
    <definedName name="_xlnm.Print_Area" localSheetId="2">'Поступления и выплаты'!$A$1:$AB$125</definedName>
    <definedName name="_xlnm.Print_Area" localSheetId="0">Титульный!$A$1:$Q$61</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12">'ФХД_ Сведения по выплатам'!$A$1:$DA$59</definedName>
    <definedName name="_xlnm.Print_Area" localSheetId="7">'ФХД_ Сведения по выплатам АЦК'!$A$1:$DA$56</definedName>
    <definedName name="_xlnm.Print_Area" localSheetId="6">'ФХД_ Сведения по выплатам н (2'!$A$1:$DA$47</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E15" i="3" l="1"/>
  <c r="L16" i="3" l="1"/>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9" i="3"/>
  <c r="O110" i="3"/>
  <c r="O111" i="3"/>
  <c r="O112" i="3"/>
  <c r="O113" i="3"/>
  <c r="O114" i="3"/>
  <c r="O115" i="3"/>
  <c r="O116" i="3"/>
  <c r="O117" i="3"/>
  <c r="O118" i="3"/>
  <c r="O119" i="3"/>
  <c r="O120" i="3"/>
  <c r="O121" i="3"/>
  <c r="O122" i="3"/>
  <c r="O123" i="3"/>
  <c r="O124" i="3"/>
  <c r="O125" i="3"/>
  <c r="O108" i="3"/>
  <c r="CX31" i="10"/>
  <c r="L44" i="3" l="1"/>
  <c r="L49" i="3"/>
  <c r="L80" i="3"/>
  <c r="E80" i="3" s="1"/>
  <c r="M107" i="3"/>
  <c r="L107" i="3" s="1"/>
  <c r="L106" i="3"/>
  <c r="E106" i="3" s="1"/>
  <c r="L109" i="3"/>
  <c r="L101" i="3"/>
  <c r="L102" i="3"/>
  <c r="L103" i="3"/>
  <c r="L104" i="3"/>
  <c r="L105" i="3"/>
  <c r="L108" i="3"/>
  <c r="I57" i="3" l="1"/>
  <c r="I44" i="3" l="1"/>
  <c r="I49" i="3" l="1"/>
  <c r="E49" i="3" s="1"/>
  <c r="I108" i="3"/>
  <c r="E108" i="3" s="1"/>
  <c r="I107" i="3"/>
  <c r="E107" i="3" s="1"/>
  <c r="I75" i="3"/>
  <c r="E75" i="3" s="1"/>
  <c r="E100" i="3" l="1"/>
  <c r="G6" i="3" l="1"/>
  <c r="F6" i="3" s="1"/>
  <c r="E6" i="3" s="1"/>
  <c r="F44" i="3"/>
  <c r="F57" i="3"/>
  <c r="E57" i="3" s="1"/>
  <c r="E44" i="3" l="1"/>
  <c r="E42" i="3" s="1"/>
  <c r="M70" i="18"/>
  <c r="M188" i="18"/>
  <c r="J188" i="18"/>
  <c r="G188" i="18"/>
  <c r="M176" i="18"/>
  <c r="J176" i="18"/>
  <c r="G176" i="18"/>
  <c r="I79" i="18"/>
  <c r="L79" i="18"/>
  <c r="F79" i="18"/>
  <c r="F373" i="18"/>
  <c r="F312" i="18"/>
  <c r="W384" i="18" l="1"/>
  <c r="F364" i="18" s="1"/>
  <c r="W376" i="18"/>
  <c r="F365" i="18" s="1"/>
  <c r="AC384" i="18" l="1"/>
  <c r="Z384" i="18"/>
  <c r="AA382" i="18"/>
  <c r="X382" i="18"/>
  <c r="X383" i="18"/>
  <c r="U382" i="18"/>
  <c r="W379" i="18"/>
  <c r="F370" i="18" s="1"/>
  <c r="X15" i="3" l="1"/>
  <c r="T15" i="3"/>
  <c r="X107" i="3"/>
  <c r="T107" i="3"/>
  <c r="W400" i="18" l="1"/>
  <c r="CX28" i="10" l="1"/>
  <c r="CX16" i="10"/>
  <c r="CX15" i="10" l="1"/>
  <c r="V340" i="18"/>
  <c r="U328" i="18"/>
  <c r="U329" i="18"/>
  <c r="U330" i="18"/>
  <c r="U331" i="18"/>
  <c r="U332" i="18"/>
  <c r="V396" i="18"/>
  <c r="U396" i="18"/>
  <c r="W396" i="18" l="1"/>
  <c r="L32" i="11"/>
  <c r="I32" i="11"/>
  <c r="F32" i="11"/>
  <c r="F20" i="11" l="1"/>
  <c r="Y379" i="18" l="1"/>
  <c r="AB371" i="18"/>
  <c r="AA371" i="18" s="1"/>
  <c r="AB370" i="18"/>
  <c r="AB379" i="18"/>
  <c r="AB381" i="18"/>
  <c r="AA381" i="18" s="1"/>
  <c r="AB362" i="18"/>
  <c r="AA362" i="18" s="1"/>
  <c r="AB354" i="18"/>
  <c r="AA354" i="18" s="1"/>
  <c r="AB368" i="18"/>
  <c r="Y370" i="18"/>
  <c r="Y357" i="18"/>
  <c r="X357" i="18" s="1"/>
  <c r="Y380" i="18"/>
  <c r="X380" i="18" s="1"/>
  <c r="Y368" i="18"/>
  <c r="Y381" i="18"/>
  <c r="X381" i="18" s="1"/>
  <c r="Y362" i="18"/>
  <c r="X362" i="18" s="1"/>
  <c r="Y354" i="18"/>
  <c r="X354" i="18" s="1"/>
  <c r="V357" i="18"/>
  <c r="V368" i="18"/>
  <c r="F322" i="18" s="1"/>
  <c r="V381" i="18"/>
  <c r="V362" i="18"/>
  <c r="V354" i="18"/>
  <c r="F308" i="18" s="1"/>
  <c r="X385" i="18"/>
  <c r="U385" i="18"/>
  <c r="AA384" i="18"/>
  <c r="X384" i="18"/>
  <c r="U384" i="18"/>
  <c r="AA383" i="18"/>
  <c r="U383" i="18"/>
  <c r="AA380" i="18"/>
  <c r="U380" i="18"/>
  <c r="AC379" i="18"/>
  <c r="Z379" i="18"/>
  <c r="U379" i="18"/>
  <c r="AA378" i="18"/>
  <c r="X378" i="18"/>
  <c r="U378" i="18"/>
  <c r="AA377" i="18"/>
  <c r="X377" i="18"/>
  <c r="U377" i="18"/>
  <c r="AA375" i="18"/>
  <c r="X375" i="18"/>
  <c r="U375" i="18"/>
  <c r="AA374" i="18"/>
  <c r="X374" i="18"/>
  <c r="U374" i="18"/>
  <c r="AA372" i="18"/>
  <c r="X372" i="18"/>
  <c r="U372" i="18"/>
  <c r="Z371" i="18"/>
  <c r="Y371" i="18"/>
  <c r="U371" i="18"/>
  <c r="AC370" i="18"/>
  <c r="Z370" i="18"/>
  <c r="U370" i="18"/>
  <c r="AA369" i="18"/>
  <c r="X369" i="18"/>
  <c r="U369" i="18"/>
  <c r="AC368" i="18"/>
  <c r="Z368" i="18"/>
  <c r="AC367" i="18"/>
  <c r="AB367" i="18"/>
  <c r="Z367" i="18"/>
  <c r="Y367" i="18"/>
  <c r="U367" i="18"/>
  <c r="AA366" i="18"/>
  <c r="X366" i="18"/>
  <c r="U366" i="18"/>
  <c r="AA365" i="18"/>
  <c r="Y365" i="18"/>
  <c r="X365" i="18" s="1"/>
  <c r="U365" i="18"/>
  <c r="AA364" i="18"/>
  <c r="X364" i="18"/>
  <c r="U364" i="18"/>
  <c r="AA363" i="18"/>
  <c r="X363" i="18"/>
  <c r="U363" i="18"/>
  <c r="AB361" i="18"/>
  <c r="AA361" i="18" s="1"/>
  <c r="Y361" i="18"/>
  <c r="X361" i="18" s="1"/>
  <c r="U361" i="18"/>
  <c r="AA360" i="18"/>
  <c r="X360" i="18"/>
  <c r="U360" i="18"/>
  <c r="AA359" i="18"/>
  <c r="X359" i="18"/>
  <c r="U359" i="18"/>
  <c r="AB358" i="18"/>
  <c r="AA358" i="18" s="1"/>
  <c r="X358" i="18"/>
  <c r="U358" i="18"/>
  <c r="AA357" i="18"/>
  <c r="AA356" i="18"/>
  <c r="X356" i="18"/>
  <c r="U356" i="18"/>
  <c r="AA355" i="18"/>
  <c r="X355" i="18"/>
  <c r="U355" i="18"/>
  <c r="AB353" i="18"/>
  <c r="AA353" i="18" s="1"/>
  <c r="Y353" i="18"/>
  <c r="X353" i="18" s="1"/>
  <c r="W386" i="18"/>
  <c r="W388" i="18" s="1"/>
  <c r="U353" i="18"/>
  <c r="Y400" i="18" l="1"/>
  <c r="U357" i="18"/>
  <c r="F311" i="18"/>
  <c r="U362" i="18"/>
  <c r="F316" i="18"/>
  <c r="AA370" i="18"/>
  <c r="F336" i="18"/>
  <c r="U381" i="18"/>
  <c r="X379" i="18"/>
  <c r="X370" i="18"/>
  <c r="Z386" i="18"/>
  <c r="Z388" i="18" s="1"/>
  <c r="Z400" i="18"/>
  <c r="X371" i="18"/>
  <c r="V386" i="18"/>
  <c r="V388" i="18" s="1"/>
  <c r="AA368" i="18"/>
  <c r="AA367" i="18"/>
  <c r="AB400" i="18"/>
  <c r="AC400" i="18"/>
  <c r="AC386" i="18"/>
  <c r="AC388" i="18" s="1"/>
  <c r="U368" i="18"/>
  <c r="V400" i="18"/>
  <c r="U400" i="18" s="1"/>
  <c r="AA379" i="18"/>
  <c r="AB386" i="18"/>
  <c r="AB388" i="18" s="1"/>
  <c r="X368" i="18"/>
  <c r="Y386" i="18"/>
  <c r="Y388" i="18" s="1"/>
  <c r="U354" i="18"/>
  <c r="X367" i="18"/>
  <c r="AB307" i="18"/>
  <c r="AA307" i="18" s="1"/>
  <c r="AB315" i="18"/>
  <c r="AA315" i="18" s="1"/>
  <c r="AB325" i="18"/>
  <c r="AA325" i="18" s="1"/>
  <c r="AB312" i="18"/>
  <c r="AA312" i="18" s="1"/>
  <c r="AB334" i="18"/>
  <c r="AC334" i="18"/>
  <c r="AC338" i="18"/>
  <c r="AA338" i="18" s="1"/>
  <c r="AB324" i="18"/>
  <c r="AC324" i="18"/>
  <c r="AC322" i="18"/>
  <c r="AB322" i="18"/>
  <c r="AC321" i="18"/>
  <c r="AB321" i="18"/>
  <c r="AA308" i="18"/>
  <c r="AA309" i="18"/>
  <c r="AA310" i="18"/>
  <c r="AA311" i="18"/>
  <c r="AA313" i="18"/>
  <c r="AA314" i="18"/>
  <c r="AA316" i="18"/>
  <c r="AA317" i="18"/>
  <c r="AA318" i="18"/>
  <c r="AA319" i="18"/>
  <c r="AA320" i="18"/>
  <c r="AA323" i="18"/>
  <c r="AA326" i="18"/>
  <c r="AA327" i="18"/>
  <c r="AA329" i="18"/>
  <c r="AA331" i="18"/>
  <c r="AA333" i="18"/>
  <c r="AA335" i="18"/>
  <c r="AA336" i="18"/>
  <c r="AA337" i="18"/>
  <c r="Y335" i="18"/>
  <c r="Y344" i="18" s="1"/>
  <c r="Y324" i="18"/>
  <c r="Y319" i="18"/>
  <c r="X319" i="18" s="1"/>
  <c r="Y315" i="18"/>
  <c r="X315" i="18" s="1"/>
  <c r="Z325" i="18"/>
  <c r="Y307" i="18"/>
  <c r="X307" i="18" s="1"/>
  <c r="Y311" i="18"/>
  <c r="X311" i="18" s="1"/>
  <c r="Z334" i="18"/>
  <c r="X334" i="18" s="1"/>
  <c r="Z338" i="18"/>
  <c r="X338" i="18" s="1"/>
  <c r="Y325" i="18"/>
  <c r="Z324" i="18"/>
  <c r="Z322" i="18"/>
  <c r="Y322" i="18"/>
  <c r="Z321" i="18"/>
  <c r="Y321" i="18"/>
  <c r="X308" i="18"/>
  <c r="X309" i="18"/>
  <c r="X310" i="18"/>
  <c r="X312" i="18"/>
  <c r="X313" i="18"/>
  <c r="X314" i="18"/>
  <c r="X316" i="18"/>
  <c r="X317" i="18"/>
  <c r="X318" i="18"/>
  <c r="X320" i="18"/>
  <c r="X323" i="18"/>
  <c r="X326" i="18"/>
  <c r="X327" i="18"/>
  <c r="X329" i="18"/>
  <c r="X331" i="18"/>
  <c r="X333" i="18"/>
  <c r="X336" i="18"/>
  <c r="X337" i="18"/>
  <c r="X339" i="18"/>
  <c r="U309" i="18"/>
  <c r="U310" i="18"/>
  <c r="U311" i="18"/>
  <c r="U313" i="18"/>
  <c r="U315" i="18"/>
  <c r="U317" i="18"/>
  <c r="U318" i="18"/>
  <c r="U319" i="18"/>
  <c r="U320" i="18"/>
  <c r="U323" i="18"/>
  <c r="U326" i="18"/>
  <c r="U327" i="18"/>
  <c r="U339" i="18"/>
  <c r="W336" i="18"/>
  <c r="U336" i="18" s="1"/>
  <c r="W335" i="18"/>
  <c r="U335" i="18" s="1"/>
  <c r="W333" i="18"/>
  <c r="U333" i="18" s="1"/>
  <c r="W337" i="18"/>
  <c r="U337" i="18" s="1"/>
  <c r="W316" i="18"/>
  <c r="U316" i="18" s="1"/>
  <c r="W314" i="18"/>
  <c r="U314" i="18" s="1"/>
  <c r="W312" i="18"/>
  <c r="U312" i="18" s="1"/>
  <c r="W308" i="18"/>
  <c r="U308" i="18" s="1"/>
  <c r="W307" i="18"/>
  <c r="U307" i="18" s="1"/>
  <c r="U386" i="18" l="1"/>
  <c r="AA386" i="18"/>
  <c r="X386" i="18"/>
  <c r="AA400" i="18"/>
  <c r="X400" i="18"/>
  <c r="AA334" i="18"/>
  <c r="AA324" i="18"/>
  <c r="AC340" i="18"/>
  <c r="AC342" i="18" s="1"/>
  <c r="AA322" i="18"/>
  <c r="AA321" i="18"/>
  <c r="AB340" i="18"/>
  <c r="AB342" i="18" s="1"/>
  <c r="X335" i="18"/>
  <c r="X325" i="18"/>
  <c r="X324" i="18"/>
  <c r="Z340" i="18"/>
  <c r="Z342" i="18" s="1"/>
  <c r="X322" i="18"/>
  <c r="X321" i="18"/>
  <c r="Y340" i="18"/>
  <c r="Y342" i="18" s="1"/>
  <c r="F315" i="18"/>
  <c r="F360" i="18"/>
  <c r="W322" i="18" s="1"/>
  <c r="U322" i="18" s="1"/>
  <c r="F363" i="18"/>
  <c r="W325" i="18" s="1"/>
  <c r="W334" i="18"/>
  <c r="U334" i="18" s="1"/>
  <c r="W338" i="18"/>
  <c r="U338" i="18" s="1"/>
  <c r="F362" i="18"/>
  <c r="W324" i="18" s="1"/>
  <c r="U324" i="18" s="1"/>
  <c r="F359" i="18"/>
  <c r="H346" i="18"/>
  <c r="H347" i="18"/>
  <c r="H348" i="18"/>
  <c r="H349" i="18"/>
  <c r="H351" i="18"/>
  <c r="H352" i="18"/>
  <c r="H353" i="18"/>
  <c r="H354" i="18"/>
  <c r="H355" i="18"/>
  <c r="H356" i="18"/>
  <c r="H357" i="18"/>
  <c r="H361" i="18"/>
  <c r="H365" i="18"/>
  <c r="H366" i="18"/>
  <c r="H367" i="18"/>
  <c r="H371" i="18"/>
  <c r="H345" i="18"/>
  <c r="F307" i="18"/>
  <c r="F314" i="18"/>
  <c r="W321" i="18" l="1"/>
  <c r="U321" i="18" s="1"/>
  <c r="F374" i="18"/>
  <c r="AA340" i="18"/>
  <c r="AA342" i="18" s="1"/>
  <c r="H364" i="18"/>
  <c r="H363" i="18"/>
  <c r="U325" i="18"/>
  <c r="X340" i="18"/>
  <c r="H374" i="18"/>
  <c r="U340" i="18" l="1"/>
  <c r="W340" i="18"/>
  <c r="F377" i="18"/>
  <c r="D305" i="18" l="1"/>
  <c r="F334" i="18"/>
  <c r="F325" i="18" l="1"/>
  <c r="F324" i="18"/>
  <c r="F321" i="18"/>
  <c r="H331" i="18"/>
  <c r="H329" i="18"/>
  <c r="H327" i="18"/>
  <c r="H318" i="18"/>
  <c r="H317" i="18"/>
  <c r="H310" i="18"/>
  <c r="H309" i="18"/>
  <c r="G312" i="18"/>
  <c r="H312" i="18" s="1"/>
  <c r="J350" i="18" l="1"/>
  <c r="I350" i="18"/>
  <c r="G350" i="18"/>
  <c r="H350" i="18" s="1"/>
  <c r="J312" i="18"/>
  <c r="I312" i="18"/>
  <c r="I9" i="14"/>
  <c r="K9" i="14"/>
  <c r="I20" i="14"/>
  <c r="C9" i="14"/>
  <c r="J368" i="18"/>
  <c r="I368" i="18"/>
  <c r="G368" i="18"/>
  <c r="H368" i="18" s="1"/>
  <c r="G282" i="18"/>
  <c r="J362" i="18"/>
  <c r="I362" i="18"/>
  <c r="G362" i="18"/>
  <c r="H362" i="18" s="1"/>
  <c r="J324" i="18"/>
  <c r="I324" i="18"/>
  <c r="K85" i="17"/>
  <c r="O85" i="17"/>
  <c r="G85" i="17"/>
  <c r="O64" i="17"/>
  <c r="K64" i="17"/>
  <c r="G64" i="17"/>
  <c r="O62" i="17"/>
  <c r="J336" i="18"/>
  <c r="I336" i="18"/>
  <c r="G336" i="18"/>
  <c r="H336" i="18" s="1"/>
  <c r="J372" i="18"/>
  <c r="I372" i="18"/>
  <c r="G372" i="18"/>
  <c r="H372" i="18" s="1"/>
  <c r="J370" i="18"/>
  <c r="I370" i="18"/>
  <c r="G370" i="18"/>
  <c r="H370" i="18" s="1"/>
  <c r="J334" i="18"/>
  <c r="I334" i="18"/>
  <c r="J333" i="18"/>
  <c r="I333" i="18"/>
  <c r="J369" i="18"/>
  <c r="I369" i="18"/>
  <c r="G369" i="18"/>
  <c r="H369" i="18" s="1"/>
  <c r="G333" i="18"/>
  <c r="H333" i="18" s="1"/>
  <c r="I375" i="18" l="1"/>
  <c r="J375" i="18"/>
  <c r="J323" i="18"/>
  <c r="L68" i="18" l="1"/>
  <c r="L67" i="18"/>
  <c r="J68" i="18"/>
  <c r="J67" i="18"/>
  <c r="J70" i="18" s="1"/>
  <c r="G68" i="18"/>
  <c r="G67" i="18"/>
  <c r="G70" i="18" s="1"/>
  <c r="J322" i="18" l="1"/>
  <c r="I323" i="18"/>
  <c r="G323" i="18"/>
  <c r="H323" i="18" s="1"/>
  <c r="F45" i="13" l="1"/>
  <c r="E45" i="13"/>
  <c r="D45" i="13"/>
  <c r="F44" i="13"/>
  <c r="E44" i="13"/>
  <c r="D44" i="13"/>
  <c r="G40" i="11" l="1"/>
  <c r="G303" i="18" l="1"/>
  <c r="G100" i="18" l="1"/>
  <c r="E100" i="18"/>
  <c r="F100" i="18" l="1"/>
  <c r="G314" i="18"/>
  <c r="H314" i="18" s="1"/>
  <c r="G313" i="18"/>
  <c r="H313" i="18" s="1"/>
  <c r="E35" i="18"/>
  <c r="G334" i="18" l="1"/>
  <c r="G375" i="18" l="1"/>
  <c r="H334" i="18"/>
  <c r="H375" i="18" s="1"/>
  <c r="G308" i="18"/>
  <c r="H308" i="18" s="1"/>
  <c r="F340" i="18"/>
  <c r="F342" i="18" s="1"/>
  <c r="H288" i="18" l="1"/>
  <c r="G319" i="18" l="1"/>
  <c r="H319" i="18" s="1"/>
  <c r="G311" i="18" l="1"/>
  <c r="H311" i="18" s="1"/>
  <c r="F115" i="18" l="1"/>
  <c r="G335" i="18" l="1"/>
  <c r="H335" i="18" s="1"/>
  <c r="F114" i="18"/>
  <c r="F113" i="18"/>
  <c r="E273" i="18"/>
  <c r="K47" i="17" l="1"/>
  <c r="G47" i="17"/>
  <c r="O46" i="17"/>
  <c r="O45" i="17"/>
  <c r="O47" i="17" s="1"/>
  <c r="M44" i="17"/>
  <c r="I44" i="17"/>
  <c r="E44" i="17"/>
  <c r="H65" i="14" l="1"/>
  <c r="K65" i="14"/>
  <c r="F64" i="18"/>
  <c r="G36" i="18" l="1"/>
  <c r="F60" i="17"/>
  <c r="G60" i="18"/>
  <c r="G66" i="18"/>
  <c r="G325" i="18" l="1"/>
  <c r="H325" i="18" s="1"/>
  <c r="M90" i="18"/>
  <c r="J90" i="18"/>
  <c r="G90" i="18"/>
  <c r="F89" i="18"/>
  <c r="F249" i="18"/>
  <c r="F250" i="18"/>
  <c r="F251" i="18"/>
  <c r="M253" i="18"/>
  <c r="J253" i="18"/>
  <c r="E252" i="18"/>
  <c r="G280" i="18"/>
  <c r="G279" i="18"/>
  <c r="G109" i="18"/>
  <c r="H9" i="14" l="1"/>
  <c r="E64" i="14"/>
  <c r="E65" i="14" s="1"/>
  <c r="D65" i="14"/>
  <c r="K64" i="14"/>
  <c r="H64" i="14"/>
  <c r="G253" i="18" l="1"/>
  <c r="DA25" i="10" l="1"/>
  <c r="CZ25" i="10"/>
  <c r="CY25" i="10"/>
  <c r="CX25" i="10"/>
  <c r="DA11" i="10"/>
  <c r="CZ11" i="10"/>
  <c r="CY11" i="10"/>
  <c r="CX11" i="10"/>
  <c r="C45" i="13" l="1"/>
  <c r="F77" i="17"/>
  <c r="F78" i="17"/>
  <c r="F107" i="18"/>
  <c r="F108" i="18"/>
  <c r="G106" i="18"/>
  <c r="G105" i="18"/>
  <c r="F104" i="18"/>
  <c r="G103" i="18"/>
  <c r="G102" i="18" l="1"/>
  <c r="F101" i="18"/>
  <c r="X76" i="3" l="1"/>
  <c r="T76" i="3"/>
  <c r="E76" i="3"/>
  <c r="E70" i="3" s="1"/>
  <c r="Z80" i="3"/>
  <c r="Y80" i="3"/>
  <c r="V80" i="3"/>
  <c r="U80" i="3"/>
  <c r="G220" i="18" l="1"/>
  <c r="G230" i="18"/>
  <c r="L20" i="11" l="1"/>
  <c r="I20" i="11"/>
  <c r="F43" i="14" l="1"/>
  <c r="G297" i="18"/>
  <c r="DA19" i="10" l="1"/>
  <c r="DA16" i="10"/>
  <c r="CZ16" i="10"/>
  <c r="CY16" i="10"/>
  <c r="CZ19" i="10"/>
  <c r="CY19" i="10"/>
  <c r="CX19" i="10"/>
  <c r="DA28" i="10"/>
  <c r="CZ28" i="10"/>
  <c r="CY28" i="10"/>
  <c r="DA15" i="10" l="1"/>
  <c r="CZ15" i="10"/>
  <c r="CZ8" i="10" s="1"/>
  <c r="CY15" i="10"/>
  <c r="CY8" i="10" s="1"/>
  <c r="CX8" i="10"/>
  <c r="DA8" i="10"/>
  <c r="M282" i="18"/>
  <c r="J282" i="18"/>
  <c r="L280" i="18"/>
  <c r="I280" i="18"/>
  <c r="F280" i="18"/>
  <c r="F275" i="18"/>
  <c r="M283" i="18" l="1"/>
  <c r="J283" i="18"/>
  <c r="L279" i="18"/>
  <c r="I279" i="18"/>
  <c r="F279" i="18"/>
  <c r="L275" i="18"/>
  <c r="I275" i="18"/>
  <c r="L274" i="18"/>
  <c r="I274" i="18"/>
  <c r="L273" i="18"/>
  <c r="I273" i="18"/>
  <c r="F273" i="18"/>
  <c r="L272" i="18"/>
  <c r="I272" i="18"/>
  <c r="F272" i="18"/>
  <c r="G263" i="18"/>
  <c r="E263" i="18"/>
  <c r="F262" i="18"/>
  <c r="F252" i="18"/>
  <c r="G240" i="18"/>
  <c r="E240" i="18"/>
  <c r="E230" i="18"/>
  <c r="E220" i="18"/>
  <c r="M210" i="18"/>
  <c r="J210" i="18"/>
  <c r="G209" i="18"/>
  <c r="G208" i="18"/>
  <c r="M199" i="18"/>
  <c r="J199" i="18"/>
  <c r="G199" i="18"/>
  <c r="F198" i="18"/>
  <c r="M165" i="18"/>
  <c r="J165" i="18"/>
  <c r="G165" i="18"/>
  <c r="G153" i="18"/>
  <c r="E153" i="18"/>
  <c r="F151" i="18"/>
  <c r="F150" i="18"/>
  <c r="F126" i="18"/>
  <c r="E126" i="18"/>
  <c r="G126" i="18"/>
  <c r="L110" i="18"/>
  <c r="I110" i="18"/>
  <c r="G110" i="18"/>
  <c r="M109" i="18"/>
  <c r="M116" i="18" s="1"/>
  <c r="J109" i="18"/>
  <c r="J116" i="18" s="1"/>
  <c r="L100" i="18"/>
  <c r="I100" i="18"/>
  <c r="L99" i="18"/>
  <c r="I99" i="18"/>
  <c r="L98" i="18"/>
  <c r="I98" i="18"/>
  <c r="F98" i="18"/>
  <c r="L97" i="18"/>
  <c r="I97" i="18"/>
  <c r="M80" i="18"/>
  <c r="J80" i="18"/>
  <c r="G80" i="18"/>
  <c r="G326" i="18" s="1"/>
  <c r="H326" i="18" s="1"/>
  <c r="K66" i="18"/>
  <c r="H66" i="18"/>
  <c r="F66" i="18"/>
  <c r="L63" i="18"/>
  <c r="I63" i="18"/>
  <c r="L62" i="18"/>
  <c r="I62" i="18"/>
  <c r="F62" i="18"/>
  <c r="L61" i="18"/>
  <c r="I61" i="18"/>
  <c r="F61" i="18"/>
  <c r="L60" i="18"/>
  <c r="I60" i="18"/>
  <c r="F60" i="18"/>
  <c r="L59" i="18"/>
  <c r="I59" i="18"/>
  <c r="L58" i="18"/>
  <c r="I58" i="18"/>
  <c r="F58" i="18"/>
  <c r="F57" i="18"/>
  <c r="O46" i="18"/>
  <c r="N46" i="18"/>
  <c r="L46" i="18"/>
  <c r="K46" i="18"/>
  <c r="J46" i="18"/>
  <c r="H46" i="18"/>
  <c r="G46" i="18"/>
  <c r="F46" i="18"/>
  <c r="D46" i="18"/>
  <c r="M45" i="18"/>
  <c r="M46" i="18" s="1"/>
  <c r="I45" i="18"/>
  <c r="I46" i="18" s="1"/>
  <c r="E45" i="18"/>
  <c r="E46" i="18" s="1"/>
  <c r="O36" i="18"/>
  <c r="N36" i="18"/>
  <c r="L36" i="18"/>
  <c r="K36" i="18"/>
  <c r="J36" i="18"/>
  <c r="H36" i="18"/>
  <c r="F36" i="18"/>
  <c r="D36" i="18"/>
  <c r="M35" i="18"/>
  <c r="M36" i="18" s="1"/>
  <c r="I35" i="18"/>
  <c r="I36" i="18" s="1"/>
  <c r="E36" i="18"/>
  <c r="L14" i="18"/>
  <c r="J14" i="18"/>
  <c r="I14" i="18"/>
  <c r="G14" i="18"/>
  <c r="F14" i="18"/>
  <c r="D14" i="18"/>
  <c r="F76" i="17"/>
  <c r="O75" i="17"/>
  <c r="O79" i="17" s="1"/>
  <c r="K75" i="17"/>
  <c r="K79" i="17" s="1"/>
  <c r="F75" i="17"/>
  <c r="O74" i="17"/>
  <c r="N63" i="17"/>
  <c r="J63" i="17"/>
  <c r="F63" i="17"/>
  <c r="L61" i="17"/>
  <c r="N61" i="17" s="1"/>
  <c r="H61" i="17"/>
  <c r="J61" i="17" s="1"/>
  <c r="N60" i="17"/>
  <c r="J60" i="17"/>
  <c r="N59" i="17"/>
  <c r="J59" i="17"/>
  <c r="F59" i="17"/>
  <c r="O58" i="17"/>
  <c r="F58" i="17"/>
  <c r="O57" i="17"/>
  <c r="K57" i="17"/>
  <c r="O34" i="17"/>
  <c r="K34" i="17"/>
  <c r="O33" i="17"/>
  <c r="K33" i="17"/>
  <c r="O32" i="17"/>
  <c r="K32" i="17"/>
  <c r="G32" i="17"/>
  <c r="G31" i="17"/>
  <c r="G35" i="17" s="1"/>
  <c r="M30" i="17"/>
  <c r="I30" i="17"/>
  <c r="E30" i="17"/>
  <c r="J19" i="17"/>
  <c r="F19" i="17"/>
  <c r="N18" i="17"/>
  <c r="N17" i="17"/>
  <c r="G321" i="18"/>
  <c r="H321" i="18" s="1"/>
  <c r="M55" i="14"/>
  <c r="L55" i="14"/>
  <c r="I55" i="14"/>
  <c r="H55" i="14"/>
  <c r="F55" i="14"/>
  <c r="E55" i="14"/>
  <c r="D55" i="14"/>
  <c r="N54" i="14"/>
  <c r="N55" i="14" s="1"/>
  <c r="I288" i="18" s="1"/>
  <c r="J54" i="14"/>
  <c r="J55" i="14" s="1"/>
  <c r="M44" i="14"/>
  <c r="L44" i="14"/>
  <c r="K44" i="14"/>
  <c r="I44" i="14"/>
  <c r="H44" i="14"/>
  <c r="G44" i="14"/>
  <c r="E44" i="14"/>
  <c r="C44" i="14"/>
  <c r="N43" i="14"/>
  <c r="N44" i="14" s="1"/>
  <c r="J43" i="14"/>
  <c r="J44" i="14" s="1"/>
  <c r="F44" i="14"/>
  <c r="M33" i="14"/>
  <c r="L33" i="14"/>
  <c r="K33" i="14"/>
  <c r="I33" i="14"/>
  <c r="H33" i="14"/>
  <c r="G33" i="14"/>
  <c r="F33" i="14"/>
  <c r="E33" i="14"/>
  <c r="C33" i="14"/>
  <c r="N32" i="14"/>
  <c r="N33" i="14" s="1"/>
  <c r="J32" i="14"/>
  <c r="J33" i="14" s="1"/>
  <c r="D32" i="14"/>
  <c r="D33" i="14" s="1"/>
  <c r="J21" i="14"/>
  <c r="G21" i="14"/>
  <c r="D21" i="14"/>
  <c r="K21" i="14"/>
  <c r="H20" i="14"/>
  <c r="H21" i="14" s="1"/>
  <c r="J10" i="14"/>
  <c r="G10" i="14"/>
  <c r="D10" i="14"/>
  <c r="K10" i="14"/>
  <c r="H10" i="14"/>
  <c r="E56" i="13"/>
  <c r="D56" i="13"/>
  <c r="C55" i="13"/>
  <c r="F46" i="13"/>
  <c r="N45" i="13"/>
  <c r="J45" i="13"/>
  <c r="N44" i="13"/>
  <c r="J44" i="13"/>
  <c r="M22" i="13"/>
  <c r="L22" i="13"/>
  <c r="I22" i="13"/>
  <c r="H22" i="13"/>
  <c r="E22" i="13"/>
  <c r="D22" i="13"/>
  <c r="F20" i="13"/>
  <c r="N17" i="13"/>
  <c r="N22" i="13" s="1"/>
  <c r="J17" i="13"/>
  <c r="J22" i="13" s="1"/>
  <c r="F17" i="13"/>
  <c r="M9" i="13"/>
  <c r="L9" i="13"/>
  <c r="I9" i="13"/>
  <c r="H9" i="13"/>
  <c r="F9" i="13"/>
  <c r="E9" i="13"/>
  <c r="D9" i="13"/>
  <c r="N8" i="13"/>
  <c r="N9" i="13" s="1"/>
  <c r="J8" i="13"/>
  <c r="J9" i="13" s="1"/>
  <c r="C8" i="13"/>
  <c r="G307" i="18"/>
  <c r="H307" i="18" s="1"/>
  <c r="K41" i="11"/>
  <c r="K64" i="11" s="1"/>
  <c r="I41" i="11"/>
  <c r="I64" i="11" s="1"/>
  <c r="G41" i="11"/>
  <c r="G64" i="11" s="1"/>
  <c r="CY36" i="10"/>
  <c r="CX27" i="8"/>
  <c r="CX21" i="8"/>
  <c r="CX18" i="8" s="1"/>
  <c r="CX15" i="8"/>
  <c r="DA10" i="8"/>
  <c r="CZ10" i="8"/>
  <c r="CY10" i="8"/>
  <c r="CX10" i="8"/>
  <c r="CZ26" i="7"/>
  <c r="CZ29" i="7" s="1"/>
  <c r="CY26" i="7"/>
  <c r="CY28" i="7" s="1"/>
  <c r="CX26" i="7"/>
  <c r="CX27" i="7" s="1"/>
  <c r="G103" i="6"/>
  <c r="F103" i="6"/>
  <c r="E103" i="6"/>
  <c r="G79" i="6"/>
  <c r="G87" i="6" s="1"/>
  <c r="F79" i="6"/>
  <c r="F87" i="6" s="1"/>
  <c r="E79" i="6"/>
  <c r="E87" i="6" s="1"/>
  <c r="E45" i="6"/>
  <c r="G36" i="6"/>
  <c r="G45" i="6" s="1"/>
  <c r="F36" i="6"/>
  <c r="F45" i="6" s="1"/>
  <c r="G30" i="6"/>
  <c r="F30" i="6"/>
  <c r="F7" i="6" s="1"/>
  <c r="G7" i="6"/>
  <c r="CW21" i="5"/>
  <c r="CW19" i="5" s="1"/>
  <c r="CW7" i="5" s="1"/>
  <c r="Z100" i="3"/>
  <c r="Y100" i="3"/>
  <c r="X100" i="3"/>
  <c r="X94" i="3" s="1"/>
  <c r="W100" i="3"/>
  <c r="V100" i="3"/>
  <c r="U100" i="3"/>
  <c r="T100" i="3"/>
  <c r="T94" i="3" s="1"/>
  <c r="E94" i="3"/>
  <c r="Z79" i="3"/>
  <c r="Y79" i="3"/>
  <c r="V79" i="3"/>
  <c r="V76" i="3" s="1"/>
  <c r="U79" i="3"/>
  <c r="U76" i="3" s="1"/>
  <c r="X70" i="3"/>
  <c r="W76" i="3"/>
  <c r="W70" i="3" s="1"/>
  <c r="T70" i="3"/>
  <c r="Z72" i="3"/>
  <c r="Z70" i="3" s="1"/>
  <c r="V72" i="3"/>
  <c r="U72" i="3"/>
  <c r="AA70" i="3"/>
  <c r="Y70" i="3"/>
  <c r="AA61" i="3"/>
  <c r="Z61" i="3"/>
  <c r="Y61" i="3"/>
  <c r="W61" i="3"/>
  <c r="V61" i="3"/>
  <c r="U61" i="3"/>
  <c r="T61" i="3"/>
  <c r="Z59" i="3"/>
  <c r="V59" i="3"/>
  <c r="Z57" i="3"/>
  <c r="Y57" i="3"/>
  <c r="Y55" i="3" s="1"/>
  <c r="V57" i="3"/>
  <c r="U57" i="3"/>
  <c r="U55" i="3" s="1"/>
  <c r="AA55" i="3"/>
  <c r="X55" i="3"/>
  <c r="W55" i="3"/>
  <c r="T55" i="3"/>
  <c r="E55" i="3"/>
  <c r="AA46" i="3"/>
  <c r="Z46" i="3"/>
  <c r="Y46" i="3"/>
  <c r="X46" i="3"/>
  <c r="W46" i="3"/>
  <c r="V46" i="3"/>
  <c r="U46" i="3"/>
  <c r="T46" i="3"/>
  <c r="E46" i="3"/>
  <c r="Z42" i="3"/>
  <c r="Y42" i="3"/>
  <c r="X42" i="3"/>
  <c r="W42" i="3"/>
  <c r="V42" i="3"/>
  <c r="U42" i="3"/>
  <c r="T42" i="3"/>
  <c r="X31" i="3"/>
  <c r="T31" i="3"/>
  <c r="E31" i="3"/>
  <c r="X27" i="3"/>
  <c r="T27" i="3"/>
  <c r="E27" i="3"/>
  <c r="AA24" i="3"/>
  <c r="AA11" i="3" s="1"/>
  <c r="X21" i="3"/>
  <c r="T21" i="3"/>
  <c r="Z17" i="3"/>
  <c r="V17" i="3"/>
  <c r="X16" i="3"/>
  <c r="V16" i="3"/>
  <c r="T16" i="3"/>
  <c r="E16" i="3"/>
  <c r="Z15" i="3"/>
  <c r="Z11" i="3" s="1"/>
  <c r="Y15" i="3"/>
  <c r="Y11" i="3" s="1"/>
  <c r="V15" i="3"/>
  <c r="V11" i="3" s="1"/>
  <c r="U11" i="3"/>
  <c r="AA39" i="3" l="1"/>
  <c r="AA37" i="3" s="1"/>
  <c r="I359" i="18"/>
  <c r="I321" i="18"/>
  <c r="J359" i="18"/>
  <c r="J321" i="18"/>
  <c r="G315" i="18"/>
  <c r="H315" i="18" s="1"/>
  <c r="G324" i="18"/>
  <c r="H324" i="18" s="1"/>
  <c r="F110" i="18"/>
  <c r="G116" i="18"/>
  <c r="E30" i="6"/>
  <c r="E7" i="6" s="1"/>
  <c r="V55" i="3"/>
  <c r="V39" i="3" s="1"/>
  <c r="N19" i="17"/>
  <c r="F22" i="13"/>
  <c r="O35" i="17"/>
  <c r="Z55" i="3"/>
  <c r="Z39" i="3" s="1"/>
  <c r="Z37" i="3" s="1"/>
  <c r="G210" i="18"/>
  <c r="J46" i="13"/>
  <c r="CX14" i="8"/>
  <c r="CX7" i="8" s="1"/>
  <c r="Y39" i="3"/>
  <c r="Y37" i="3" s="1"/>
  <c r="U39" i="3"/>
  <c r="N46" i="13"/>
  <c r="X11" i="3"/>
  <c r="V70" i="3"/>
  <c r="D43" i="14"/>
  <c r="D44" i="14" s="1"/>
  <c r="K35" i="17"/>
  <c r="T11" i="3"/>
  <c r="E11" i="3"/>
  <c r="W39" i="3"/>
  <c r="W37" i="3" s="1"/>
  <c r="E39" i="3"/>
  <c r="E37" i="3" s="1"/>
  <c r="T39" i="3"/>
  <c r="T37" i="3" s="1"/>
  <c r="X39" i="3"/>
  <c r="X37" i="3" s="1"/>
  <c r="CZ36" i="10"/>
  <c r="CX36" i="10"/>
  <c r="J320" i="18"/>
  <c r="G320" i="18"/>
  <c r="H320" i="18" s="1"/>
  <c r="J358" i="18"/>
  <c r="I358" i="18"/>
  <c r="U70" i="3"/>
  <c r="G358" i="18"/>
  <c r="H358" i="18" s="1"/>
  <c r="G79" i="17"/>
  <c r="F74" i="17"/>
  <c r="G283" i="18"/>
  <c r="F274" i="18"/>
  <c r="J360" i="18" l="1"/>
  <c r="I360" i="18"/>
  <c r="G360" i="18"/>
  <c r="H360" i="18" s="1"/>
  <c r="G359" i="18"/>
  <c r="H359" i="18" s="1"/>
  <c r="I290" i="18"/>
  <c r="I296" i="18" s="1"/>
  <c r="H290" i="18"/>
  <c r="H296" i="18" s="1"/>
  <c r="I289" i="18"/>
  <c r="U37" i="3"/>
  <c r="V37" i="3"/>
  <c r="I291" i="18" l="1"/>
  <c r="G316" i="18" l="1"/>
  <c r="H316" i="18" s="1"/>
  <c r="G288" i="18" l="1"/>
  <c r="E10" i="14" l="1"/>
  <c r="I320" i="18" l="1"/>
  <c r="I322" i="18" l="1"/>
  <c r="H289" i="18"/>
  <c r="H291" i="18" s="1"/>
  <c r="G273" i="14"/>
  <c r="G276" i="11"/>
  <c r="G275" i="17"/>
  <c r="G274" i="13"/>
  <c r="G289" i="18" l="1"/>
  <c r="G322" i="18"/>
  <c r="F275" i="17"/>
  <c r="F274" i="13"/>
  <c r="F273" i="14"/>
  <c r="F276" i="11"/>
  <c r="G340" i="18" l="1"/>
  <c r="H322" i="18"/>
  <c r="G304" i="18"/>
  <c r="E21" i="14"/>
  <c r="G290" i="18"/>
  <c r="G291" i="18" s="1"/>
  <c r="C20" i="14"/>
  <c r="G298" i="18" l="1"/>
  <c r="G296" i="18"/>
</calcChain>
</file>

<file path=xl/sharedStrings.xml><?xml version="1.0" encoding="utf-8"?>
<sst xmlns="http://schemas.openxmlformats.org/spreadsheetml/2006/main" count="3909" uniqueCount="841">
  <si>
    <t>УТВЕРЖДАЮ</t>
  </si>
  <si>
    <t>Директор</t>
  </si>
  <si>
    <t>(руководитель, учреждение)</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</si>
  <si>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</si>
  <si>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</si>
  <si>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</si>
  <si>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</si>
  <si>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</si>
  <si>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</si>
  <si>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</si>
  <si>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</si>
  <si>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</si>
  <si>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</si>
  <si>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</si>
  <si>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</si>
  <si>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t>
  </si>
  <si>
    <t>на 2021 г</t>
  </si>
  <si>
    <t>на 2022 г</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</si>
  <si>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</si>
  <si>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</si>
  <si>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</si>
  <si>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</si>
  <si>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</si>
  <si>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</si>
  <si>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</si>
  <si>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</si>
  <si>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</si>
  <si>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</si>
  <si>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</si>
  <si>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</si>
  <si>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</si>
  <si>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</si>
  <si>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</si>
  <si>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</si>
  <si>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</si>
  <si>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</si>
  <si>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</si>
  <si>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000</t>
  </si>
  <si>
    <t>доходы от оказания услуг, работ, компенсации затрат учреждений, всего</t>
  </si>
  <si>
    <t>1200</t>
  </si>
  <si>
    <t>130</t>
  </si>
  <si>
    <t>в том числе:</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</si>
  <si>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</si>
  <si>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</si>
  <si>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 xml:space="preserve">   Поступления от иной, приносящей доход деятельности</t>
  </si>
  <si>
    <t>1230</t>
  </si>
  <si>
    <t xml:space="preserve">   Безвозмездные денежные поступления, всего</t>
  </si>
  <si>
    <t>1400</t>
  </si>
  <si>
    <t>150</t>
  </si>
  <si>
    <t xml:space="preserve">      Целевые субсидии</t>
  </si>
  <si>
    <t>1410</t>
  </si>
  <si>
    <t xml:space="preserve">   Доходы от операций с активами, всего</t>
  </si>
  <si>
    <t>1900</t>
  </si>
  <si>
    <t xml:space="preserve">      Прочие поступления, всего</t>
  </si>
  <si>
    <t>1980</t>
  </si>
  <si>
    <t xml:space="preserve">         Увеличение остатков денежных средств за счет возврата дебиторской задолженности прошлых лет</t>
  </si>
  <si>
    <t>1981</t>
  </si>
  <si>
    <t>510</t>
  </si>
  <si>
    <t>Расходы, всего</t>
  </si>
  <si>
    <t>2000</t>
  </si>
  <si>
    <t xml:space="preserve">   Выплаты персоналу, всего</t>
  </si>
  <si>
    <t>2100</t>
  </si>
  <si>
    <t xml:space="preserve">      Оплата труда и начисления на выплаты по оплате труда</t>
  </si>
  <si>
    <t>2110</t>
  </si>
  <si>
    <t>111</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</si>
  <si>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</si>
  <si>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</si>
  <si>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</si>
  <si>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</si>
  <si>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</si>
  <si>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</si>
  <si>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2120</t>
  </si>
  <si>
    <t>112</t>
  </si>
  <si>
    <t xml:space="preserve">         Прочие выплаты персоналу, в том числе компенсационного характера</t>
  </si>
  <si>
    <t>2121</t>
  </si>
  <si>
    <t>212</t>
  </si>
  <si>
    <t>214</t>
  </si>
  <si>
    <t>226</t>
  </si>
  <si>
    <t xml:space="preserve">      Взносы по обязательному социальному страхованию на выплаты по оплате труда работников и иные выплаты работникам учреждений, всего</t>
  </si>
  <si>
    <t>2140</t>
  </si>
  <si>
    <t>119</t>
  </si>
  <si>
    <t xml:space="preserve">         На выплаты по оплате труда</t>
  </si>
  <si>
    <t>2141</t>
  </si>
  <si>
    <t>213</t>
  </si>
  <si>
    <t xml:space="preserve">   Уплату налогов, сборов и иных платежей, всего</t>
  </si>
  <si>
    <t>2300</t>
  </si>
  <si>
    <t>850</t>
  </si>
  <si>
    <t xml:space="preserve">      Налог на имущество организаций и земельный налог</t>
  </si>
  <si>
    <t>2310</t>
  </si>
  <si>
    <t>851</t>
  </si>
  <si>
    <t>291</t>
  </si>
  <si>
    <t xml:space="preserve">      Уплата штрафов (в том числе административных), пеней, иных платежей</t>
  </si>
  <si>
    <t>2330</t>
  </si>
  <si>
    <t>853</t>
  </si>
  <si>
    <t>297</t>
  </si>
  <si>
    <t xml:space="preserve">   Расходы на закупку товаров, работ, услуг, всего</t>
  </si>
  <si>
    <t>2600</t>
  </si>
  <si>
    <t xml:space="preserve">      Прочую закупку товаров, работ и услуг, всего</t>
  </si>
  <si>
    <t>2640</t>
  </si>
  <si>
    <t>244</t>
  </si>
  <si>
    <t xml:space="preserve">         Прочие работы, услуги</t>
  </si>
  <si>
    <t>2641</t>
  </si>
  <si>
    <t xml:space="preserve">         Услуги связи</t>
  </si>
  <si>
    <t>221</t>
  </si>
  <si>
    <t xml:space="preserve">         Транспортные услуги</t>
  </si>
  <si>
    <t>222</t>
  </si>
  <si>
    <t xml:space="preserve">         Коммунальные услуги</t>
  </si>
  <si>
    <t>223</t>
  </si>
  <si>
    <t xml:space="preserve">         Работы, услуги по содержанию имущества</t>
  </si>
  <si>
    <t>225</t>
  </si>
  <si>
    <t xml:space="preserve">         Увеличение стоимости основных средств</t>
  </si>
  <si>
    <t>310</t>
  </si>
  <si>
    <t xml:space="preserve">         Увеличение стоимости материальных запасов</t>
  </si>
  <si>
    <t>342</t>
  </si>
  <si>
    <t>345</t>
  </si>
  <si>
    <t>346</t>
  </si>
  <si>
    <t>349</t>
  </si>
  <si>
    <t>Выплаты, уменьшающие доход, всего</t>
  </si>
  <si>
    <t>3000</t>
  </si>
  <si>
    <t>100</t>
  </si>
  <si>
    <t>Налог на прибыль</t>
  </si>
  <si>
    <t>3010</t>
  </si>
  <si>
    <t>180</t>
  </si>
  <si>
    <t>Налог на добавленную стоимость</t>
  </si>
  <si>
    <t>3020</t>
  </si>
  <si>
    <t>Прочие налоги, уменьшающие доход</t>
  </si>
  <si>
    <t>3030</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</si>
  <si>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</si>
  <si>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</si>
  <si>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</si>
  <si>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</si>
  <si>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</si>
  <si>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</si>
  <si>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</si>
  <si>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</si>
  <si>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</si>
  <si>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</si>
  <si>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</si>
  <si>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</si>
  <si>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</si>
  <si>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</si>
  <si>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</si>
  <si>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</si>
  <si>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</si>
  <si>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</si>
  <si>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</si>
  <si>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</si>
  <si>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</si>
  <si>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</si>
  <si>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</si>
  <si>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</si>
  <si>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</si>
  <si>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</si>
  <si>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</si>
  <si>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</si>
  <si>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</si>
  <si>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</si>
  <si>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</si>
  <si>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</si>
  <si>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</si>
  <si>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</si>
  <si>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</si>
  <si>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</si>
  <si>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</si>
  <si>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</si>
  <si>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</si>
  <si>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</si>
  <si>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</si>
  <si>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</si>
  <si>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</si>
  <si>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</si>
  <si>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</si>
  <si>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</si>
  <si>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</si>
  <si>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</si>
  <si>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</si>
  <si>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</si>
  <si>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</si>
  <si>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</si>
  <si>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</si>
  <si>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</si>
  <si>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</si>
  <si>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</si>
  <si>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</si>
  <si>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</si>
  <si>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</si>
  <si>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</si>
  <si>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</si>
  <si>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</si>
  <si>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</si>
  <si>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</si>
  <si>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</si>
  <si>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</si>
  <si>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</si>
  <si>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</si>
  <si>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</si>
  <si>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</si>
  <si>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</si>
  <si>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</si>
  <si>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(расшифровка подписи)</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</si>
  <si>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</si>
  <si>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</si>
  <si>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</si>
  <si>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</si>
  <si>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</si>
  <si>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</si>
  <si>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</si>
  <si>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</si>
  <si>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</si>
  <si>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</si>
  <si>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</si>
  <si>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</si>
  <si>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</si>
  <si>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</si>
  <si>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</si>
  <si>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</si>
  <si>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</si>
  <si>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</si>
  <si>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</si>
  <si>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</si>
  <si>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</si>
  <si>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</si>
  <si>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</si>
  <si>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</si>
  <si>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</si>
  <si>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</si>
  <si>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</si>
  <si>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</si>
  <si>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</si>
  <si>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</si>
  <si>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</si>
  <si>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</si>
  <si>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</si>
  <si>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</si>
  <si>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</si>
  <si>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2020</t>
  </si>
  <si>
    <t>1.1</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</si>
  <si>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</si>
  <si>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26100</t>
  </si>
  <si>
    <t>2019</t>
  </si>
  <si>
    <t>1.2</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</si>
  <si>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</si>
  <si>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26200</t>
  </si>
  <si>
    <t>1.3</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</si>
  <si>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</si>
  <si>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26300</t>
  </si>
  <si>
    <t>1.4</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</si>
  <si>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</si>
  <si>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26400</t>
  </si>
  <si>
    <t>1.4.1</t>
  </si>
  <si>
    <t xml:space="preserve">  За счет субсидий, предоставляемых на финансовое обеспечение выполнения государственного (муниципального) задания</t>
  </si>
  <si>
    <t>26410</t>
  </si>
  <si>
    <t>1.4.1.1</t>
  </si>
  <si>
    <t xml:space="preserve">   В соответствии с Федеральным законом № 44-ФЗ</t>
  </si>
  <si>
    <t>26411</t>
  </si>
  <si>
    <t>1.4.1.2</t>
  </si>
  <si>
    <t xml:space="preserve">   В соответствии с Федеральным законом № 223-ФЗ</t>
  </si>
  <si>
    <t>26412</t>
  </si>
  <si>
    <t>1.4.2</t>
  </si>
  <si>
    <t xml:space="preserve">  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</si>
  <si>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</si>
  <si>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</si>
  <si>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</si>
  <si>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</si>
  <si>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</si>
  <si>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</si>
  <si>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 xml:space="preserve">  За счет субсидий, предоставляемых на осуществление капитальных вложений</t>
  </si>
  <si>
    <t>26430</t>
  </si>
  <si>
    <t>1.4.4</t>
  </si>
  <si>
    <t xml:space="preserve">  За счет прочих источников финансового обеспечения</t>
  </si>
  <si>
    <t>26450</t>
  </si>
  <si>
    <t>1.4.4.1</t>
  </si>
  <si>
    <t>26451</t>
  </si>
  <si>
    <t>1.4.4.2</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</si>
  <si>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</si>
  <si>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</si>
  <si>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</si>
  <si>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</si>
  <si>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</si>
  <si>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</si>
  <si>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</si>
  <si>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</si>
  <si>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2021</t>
  </si>
  <si>
    <t>2.3</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</si>
  <si>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</si>
  <si>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</si>
  <si>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</si>
  <si>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</si>
  <si>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</si>
  <si>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</si>
  <si>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</si>
  <si>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</si>
  <si>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О.В. Кондрашенко</t>
  </si>
  <si>
    <t>(3462) 35-12-56</t>
  </si>
  <si>
    <t>(должность)</t>
  </si>
  <si>
    <t>(фамилия, инициалы)</t>
  </si>
  <si>
    <t>(телефон)</t>
  </si>
  <si>
    <t>"</t>
  </si>
  <si>
    <t>30</t>
  </si>
  <si>
    <t>апреля</t>
  </si>
  <si>
    <t xml:space="preserve"> г.</t>
  </si>
  <si>
    <t>СОГЛАСОВАНО</t>
  </si>
  <si>
    <t>Председатель Комитета культуры и туризма</t>
  </si>
  <si>
    <t>(наименование должности уполномоченного лица органа-учредителя)</t>
  </si>
  <si>
    <t>Акулов А.А.</t>
  </si>
  <si>
    <t>(подпись)</t>
  </si>
  <si>
    <t>20</t>
  </si>
  <si>
    <t>№ п/п</t>
  </si>
  <si>
    <t>Коды строк</t>
  </si>
  <si>
    <t>Год начала закупки</t>
  </si>
  <si>
    <t>на 2020 г. (текущий финансовый год)</t>
  </si>
  <si>
    <t>на 2021 г. (первый год планового периода)</t>
  </si>
  <si>
    <t>на 2022 г. (второй год планового периода)</t>
  </si>
  <si>
    <t xml:space="preserve">Выплаты на закупку товаров, работ, услуг, </t>
  </si>
  <si>
    <t>всего</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</si>
  <si>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</si>
  <si>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</si>
  <si>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</si>
  <si>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</si>
  <si>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и Федерального закона от 18.07.2011г. № 223-ФЗ «О закупках товаров, работ, услуг отдельными видами юридических лиц» (далее-Федеральный закон № 223-ФЗ)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</si>
  <si>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</si>
  <si>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</si>
  <si>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</si>
  <si>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</si>
  <si>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закона № 223-ФЗ</t>
  </si>
  <si>
    <t>1.3.</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</si>
  <si>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</si>
  <si>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</si>
  <si>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</si>
  <si>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</si>
  <si>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 223-ФЗ</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</si>
  <si>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</si>
  <si>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</si>
  <si>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</si>
  <si>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</si>
  <si>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</si>
  <si>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в соответствии с Федеральным законом № 223-ФЗ</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</si>
  <si>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</si>
  <si>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</si>
  <si>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</si>
  <si>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</si>
  <si>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</si>
  <si>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</si>
  <si>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r>
      <t>в соответствии с Федеральным законом № 223-ФЗ</t>
    </r>
    <r>
      <rPr>
        <vertAlign val="superscript"/>
        <sz val="11"/>
        <color theme="1"/>
        <rFont val="Times New Roman"/>
        <family val="1"/>
        <charset val="204"/>
      </rPr>
      <t>14</t>
    </r>
  </si>
  <si>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</si>
  <si>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</si>
  <si>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</si>
  <si>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</si>
  <si>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</si>
  <si>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</si>
  <si>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</si>
  <si>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</si>
  <si>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</si>
  <si>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</si>
  <si>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</si>
  <si>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</si>
  <si>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</si>
  <si>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</si>
  <si>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 xml:space="preserve"> году закупки</t>
  </si>
  <si>
    <t>в том числе по году начала закупки:</t>
  </si>
  <si>
    <t xml:space="preserve">   в том числе по году начала закупки:</t>
  </si>
  <si>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</si>
  <si>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t>8 (3462)35-12-56</t>
  </si>
  <si>
    <t xml:space="preserve">                                                  подпись                         (должность)                                 (фамилия, инициалы)                                                                (телефон)               </t>
  </si>
  <si>
    <r>
      <t>от «      »января 2020г</t>
    </r>
    <r>
      <rPr>
        <b/>
        <sz val="11"/>
        <color theme="1"/>
        <rFont val="Times New Roman"/>
        <family val="1"/>
        <charset val="204"/>
      </rPr>
      <t>.</t>
    </r>
  </si>
  <si>
    <t xml:space="preserve"> Председатель Комитета культуры и туризма</t>
  </si>
  <si>
    <t xml:space="preserve"> (куратор учреждения)</t>
  </si>
  <si>
    <r>
      <t xml:space="preserve">________________________          </t>
    </r>
    <r>
      <rPr>
        <u/>
        <sz val="20"/>
        <color theme="1"/>
        <rFont val="Times New Roman"/>
        <family val="1"/>
        <charset val="204"/>
      </rPr>
      <t xml:space="preserve"> Фризен В.П.</t>
    </r>
  </si>
  <si>
    <t xml:space="preserve">                    (подпись)                                                    (расшифровка подписи)</t>
  </si>
  <si>
    <t>«____»__________________ 20__г.</t>
  </si>
  <si>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</si>
  <si>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</si>
  <si>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</si>
  <si>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</si>
  <si>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</si>
  <si>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</si>
  <si>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</si>
  <si>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t>в Разделе 2 «Сведения по выплатам на закупку товаров, работ, услуг» Плана.</t>
  </si>
  <si>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</si>
  <si>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</si>
  <si>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</si>
  <si>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</si>
  <si>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</si>
  <si>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</si>
  <si>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</si>
  <si>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</si>
  <si>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</si>
  <si>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Код по бюджетной классификации</t>
  </si>
  <si>
    <t>4.1</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</si>
  <si>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</si>
  <si>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1.3.1</t>
  </si>
  <si>
    <t>в том числе в соответствии с Федеральным законом №44-ФЗ</t>
  </si>
  <si>
    <t>26310</t>
  </si>
  <si>
    <r>
      <t xml:space="preserve">из них </t>
    </r>
    <r>
      <rPr>
        <sz val="8"/>
        <color indexed="64"/>
        <rFont val="Times New Roman"/>
        <family val="1"/>
        <charset val="204"/>
      </rPr>
      <t>10.1</t>
    </r>
  </si>
  <si>
    <t>26310.1</t>
  </si>
  <si>
    <t>1.3.2</t>
  </si>
  <si>
    <t>в том числе в соответствии с Федеральным законом №223-ФЗ</t>
  </si>
  <si>
    <t>26320</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</si>
  <si>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</si>
  <si>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</si>
  <si>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</si>
  <si>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 xml:space="preserve">в том числе в соответствии с Федеральным законом № 223-ФЗ </t>
  </si>
  <si>
    <t>в том числе в соответствии с Федеральным законом № 44-ФЗ</t>
  </si>
  <si>
    <t>26421.1</t>
  </si>
  <si>
    <r>
      <t xml:space="preserve"> в том числе в соответствии с Федеральным законом № 223-ФЗ </t>
    </r>
    <r>
      <rPr>
        <sz val="8"/>
        <color indexed="64"/>
        <rFont val="Times New Roman"/>
        <family val="1"/>
        <charset val="204"/>
      </rPr>
      <t>14</t>
    </r>
  </si>
  <si>
    <t>За счет субсидий, предоставляемых на осуществление капитальных вложений</t>
  </si>
  <si>
    <t>26430.1</t>
  </si>
  <si>
    <t xml:space="preserve">за счет средств обязательного медицинского страхования </t>
  </si>
  <si>
    <t>26440</t>
  </si>
  <si>
    <t xml:space="preserve">в том числе в соответствии с Федеральным аконом №44-ФЗ </t>
  </si>
  <si>
    <t>26441</t>
  </si>
  <si>
    <r>
      <t xml:space="preserve">в том числе в соответствии с Федеральным законом № 223-ФЗ </t>
    </r>
    <r>
      <rPr>
        <sz val="8"/>
        <color indexed="64"/>
        <rFont val="Times New Roman"/>
        <family val="1"/>
        <charset val="204"/>
      </rPr>
      <t>14</t>
    </r>
  </si>
  <si>
    <t>26442</t>
  </si>
  <si>
    <t>1.4.5</t>
  </si>
  <si>
    <t>1.4.5.1</t>
  </si>
  <si>
    <t xml:space="preserve">  в том числе в соответствии с Федеральным законом № 44-ФЗ</t>
  </si>
  <si>
    <t>26451.1</t>
  </si>
  <si>
    <t>1.4.5.2</t>
  </si>
  <si>
    <t xml:space="preserve"> в том числе в соответствии с Федеральным законом № 223-ФЗ</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</si>
  <si>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</si>
  <si>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</si>
  <si>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</si>
  <si>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</si>
  <si>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</si>
  <si>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на 2023 г</t>
  </si>
  <si>
    <t>2023</t>
  </si>
  <si>
    <t>8 (3462) 35-12-56</t>
  </si>
  <si>
    <t xml:space="preserve">Обоснования (расчеты) плановых показателей поступлений и выплат. </t>
  </si>
  <si>
    <t>Обоснования (расчеты) плановых показателей поступлений.</t>
  </si>
  <si>
    <t>Доходы от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</si>
  <si>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</si>
  <si>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N п/п</t>
  </si>
  <si>
    <t>Наименование услуг (работ)</t>
  </si>
  <si>
    <t>Ед.изм.</t>
  </si>
  <si>
    <t>на 2021 год (на текущий финансовый год)</t>
  </si>
  <si>
    <t>на 2022 год (на первый год планового периода)</t>
  </si>
  <si>
    <t>на 2023 год (на второй год планового периода)</t>
  </si>
  <si>
    <t>Объем услуг (работ), установленный муниципальным заданием</t>
  </si>
  <si>
    <t>Планируемая стоимость за единицу, руб</t>
  </si>
  <si>
    <t>Всего доходов, руб</t>
  </si>
  <si>
    <t>1.</t>
  </si>
  <si>
    <t xml:space="preserve"> - </t>
  </si>
  <si>
    <t>2.</t>
  </si>
  <si>
    <t>количество публичных выступлений, единица</t>
  </si>
  <si>
    <t>3.</t>
  </si>
  <si>
    <t>Итого :</t>
  </si>
  <si>
    <t>Источник доходов :  приносящая доход деятельность</t>
  </si>
  <si>
    <t>4.</t>
  </si>
  <si>
    <t>Прочие доходы, поступающие для обеспечения оказания услуг (выполнения работ) в рамках установленного муниципального задания</t>
  </si>
  <si>
    <t>Наименование дохода</t>
  </si>
  <si>
    <t>рублей</t>
  </si>
  <si>
    <t>Доходы в виде целевых субсидий, а также субсидий на осуществление капитальных вложений</t>
  </si>
  <si>
    <t>Наименование</t>
  </si>
  <si>
    <t>Расчет объема доходов</t>
  </si>
  <si>
    <t xml:space="preserve">Субсидия на цели, не связанные с финансовым обеспечением выполнения муниципального задания </t>
  </si>
  <si>
    <t>Доходы от оказания услуг (выполнения работ) вне рамок установленного муниципального задания</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</si>
  <si>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</si>
  <si>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</si>
  <si>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 3-001-0000</t>
  </si>
  <si>
    <t>Код вида финансового обеспечения: 5</t>
  </si>
  <si>
    <t>Источник финансового обеспечения: приносящая доход деятельность</t>
  </si>
  <si>
    <t>Код вида финансового обеспечения: 2</t>
  </si>
  <si>
    <t>Код субсидии: 0-000-0000</t>
  </si>
  <si>
    <t>Источник финансового обеспечения: субсидия на иные цели</t>
  </si>
  <si>
    <t>Отраслевой код: 3.04.4.02.20980.100000 (КОСГУ 266)</t>
  </si>
  <si>
    <t>Наименование расходов</t>
  </si>
  <si>
    <t>Средний размер выплаты на одного работника в день, руб</t>
  </si>
  <si>
    <t>Количество дней</t>
  </si>
  <si>
    <t>Сумма, руб</t>
  </si>
  <si>
    <t>Источник финансового обеспечения: субсидия на финансовое обеспечение  выполнения муниципального задания</t>
  </si>
  <si>
    <t xml:space="preserve">Отраслевой код: 3.04.4.02.20980.100000 </t>
  </si>
  <si>
    <t>Количество выплат</t>
  </si>
  <si>
    <t>Выплата материальной помощи за счет фонда оплаты труда, не относящаяся к выплатам поощрительного, стимулирующего характера</t>
  </si>
  <si>
    <t>Выплата единовременного денежного поощрения</t>
  </si>
  <si>
    <t>Расходы на единовременное вознаграждение работникам в связи с юбилейными датами (КОСГУ 211)</t>
  </si>
  <si>
    <t>Итого:</t>
  </si>
  <si>
    <t>Средний размер выплаты на одного работника в день, руб.</t>
  </si>
  <si>
    <t>Коли-чество работников, чел.</t>
  </si>
  <si>
    <t>Пособие за первые три дня за счет средств работодателя (КОСГУ 266)</t>
  </si>
  <si>
    <t>здесь скрыл внебюджет Соц выплаты, Мат помощь, Юбилеи 211</t>
  </si>
  <si>
    <t>Расходы на ежеквартальную материальная помощь работникам находящимся по уходу за ребенком до трех лет (КОСГУ 211)</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</si>
  <si>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</si>
  <si>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</si>
  <si>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 xml:space="preserve">Код субсидии: </t>
  </si>
  <si>
    <t xml:space="preserve">Отраслевой код: </t>
  </si>
  <si>
    <t>на 2020 год (на текущий финансовый год)</t>
  </si>
  <si>
    <t>на 2021 год (на первый год планового периода)</t>
  </si>
  <si>
    <t>на 2022 год (на второй год планового периода)</t>
  </si>
  <si>
    <t>Средний размер выплаты на одного работ-ника</t>
  </si>
  <si>
    <t xml:space="preserve">Средний размер выплаты на одного работ-ника </t>
  </si>
  <si>
    <t>здесь скрыл 2-ку суточные 212  и проезд и проживание в командировке 226</t>
  </si>
  <si>
    <t>1.2.2. Обоснования (расчеты) расходов  на прохождение медицинского осмотра:</t>
  </si>
  <si>
    <t>здесь скрыл 4-ку медосмотр</t>
  </si>
  <si>
    <t>Средний размер стоимостина одного работника, руб</t>
  </si>
  <si>
    <t>Возмещение расходов на прохождение медицинского осмотра</t>
  </si>
  <si>
    <t>на 20__год (на текущий финансовый год)</t>
  </si>
  <si>
    <t>на 20__год (на первый год планового периода)</t>
  </si>
  <si>
    <t>на 20__год (на второй год планового периода)</t>
  </si>
  <si>
    <t>1.2.3. Обоснования (расчеты) расходов на оплату стоимости проезда и провоза багажа к месту использования отпуска и обратно для лиц, работающих в районах Крайнего Севера и приравненных к ним местностях, и членов их семей:</t>
  </si>
  <si>
    <t>Отраслевой код: 3.04.4.02.20980.100000 (КОСГУ 214)</t>
  </si>
  <si>
    <t>Средний размер выплаты на одного работника, руб</t>
  </si>
  <si>
    <t>Оплата проезда и провоза багажа к месту использования отпуска и обратно</t>
  </si>
  <si>
    <t>1.2.4. Обоснования (расчеты) на ежемесячные компенсационные выплаты в размере 50 рублей сотрудникам (работникам), находящимся</t>
  </si>
  <si>
    <t>в отпуске по уходу за ребенком до достижения им возраста 3 лет:</t>
  </si>
  <si>
    <t>Численность работников, получающих пособие</t>
  </si>
  <si>
    <t xml:space="preserve">Количество выплат в год на одного работника </t>
  </si>
  <si>
    <t>Размер выплаты (пособия) в месяц, руб</t>
  </si>
  <si>
    <t>Числен ность работников, получающих пособие</t>
  </si>
  <si>
    <t>Количество выплат в год на одного работника</t>
  </si>
  <si>
    <t>Ежемесячные компенсационные выплаты в размере 50 рублей сотрудникам (работникам), находящимся в отпуске по уходу за ребенком до достижения им возраста 3 лет (50 руб. *1,5 РК=75 руб.)</t>
  </si>
  <si>
    <t>Численность работников, получающих пособияе</t>
  </si>
  <si>
    <t>1.2.5. Обоснования (расчеты) расходов на иные выплаты</t>
  </si>
  <si>
    <t>здесь скрыл иные мат помощь пенсионерам 266</t>
  </si>
  <si>
    <t>Код субсидии: 3-516-0000</t>
  </si>
  <si>
    <t xml:space="preserve">Средний размер выплаты на одного работниками в день, руб </t>
  </si>
  <si>
    <t>Количество работников, чел</t>
  </si>
  <si>
    <t>Средний размер выплаты на одного работниками в день, руб</t>
  </si>
  <si>
    <t>Расходы на ежегодную материальную помощь неработающим пенсионерам</t>
  </si>
  <si>
    <t>Код субсидии: 3-544-0302</t>
  </si>
  <si>
    <t>Код субсидии:__________________</t>
  </si>
  <si>
    <t>Отраслевой код:________________</t>
  </si>
  <si>
    <t>Сумма,</t>
  </si>
  <si>
    <t>руб</t>
  </si>
  <si>
    <t>Стоимость за ед., руб</t>
  </si>
  <si>
    <t>Сумма, руб.</t>
  </si>
  <si>
    <t>5.4. Обоснования (расчеты) расходов на оплату аренды имущества:</t>
  </si>
  <si>
    <t>Кол-во кв.м (объектов)</t>
  </si>
  <si>
    <t>Период аренды</t>
  </si>
  <si>
    <t>Ставка аренной платы</t>
  </si>
  <si>
    <t>Всего расходов, руб</t>
  </si>
  <si>
    <t xml:space="preserve">Ставка аренной платы  </t>
  </si>
  <si>
    <t>( с учетом НДС), руб</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</si>
  <si>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</si>
  <si>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</si>
  <si>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здесь скрыл дезарацию дезинсекцию помещений</t>
  </si>
  <si>
    <t>Отраслевой код: 3.04.4.02.20980.100000 (КОСГУ 225)</t>
  </si>
  <si>
    <t>Обслуживаемая площадь, кв.м</t>
  </si>
  <si>
    <t>Стоимость 1 кв.м. в месяц, руб</t>
  </si>
  <si>
    <t>Периодичность оказания услуг, месяц</t>
  </si>
  <si>
    <t xml:space="preserve">Стоимость 1 кв.м. </t>
  </si>
  <si>
    <t>в месяц, руб</t>
  </si>
  <si>
    <t xml:space="preserve">Дератизация помещений </t>
  </si>
  <si>
    <t>2512,1/1154,5</t>
  </si>
  <si>
    <t xml:space="preserve">Дезинсекция помещений </t>
  </si>
  <si>
    <t>5.5.2. Обоснования (расчеты) расходов на услуги по санитарному содержанию зданий и территорий:</t>
  </si>
  <si>
    <t>Площадь, кв.м (пг.м.)</t>
  </si>
  <si>
    <t xml:space="preserve">Стоимость </t>
  </si>
  <si>
    <t>Кол-во уборок</t>
  </si>
  <si>
    <t>Кол-во месяцев</t>
  </si>
  <si>
    <t>Стоимость 1 кв.м, руб</t>
  </si>
  <si>
    <t xml:space="preserve">Кол-во уборок </t>
  </si>
  <si>
    <t>1 кв.м, руб</t>
  </si>
  <si>
    <t xml:space="preserve"> в месяц</t>
  </si>
  <si>
    <t>в месяц</t>
  </si>
  <si>
    <t>Санитарное содержание и обслуживание (уборка) офисных и бытовых помещений</t>
  </si>
  <si>
    <t>здесь скрыл 4-ку  ТО инж сетей, Чистку Кроли, Снег с територии</t>
  </si>
  <si>
    <t>Тех обслуживание внутренних и наружных инженерных сетей в арендуемом помещение Энгельса, 11</t>
  </si>
  <si>
    <t xml:space="preserve">Чистка кровли (сбивание сосулек)  на объекте </t>
  </si>
  <si>
    <t xml:space="preserve">Механизированная уборка снега  на территории объекта </t>
  </si>
  <si>
    <t>Очистка крыши от снега и наледи на объекте</t>
  </si>
  <si>
    <t>здесь скрыл 2-ку ТО инж сетей, Чистку Кроли, Снег с територии</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</si>
  <si>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</si>
  <si>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</si>
  <si>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</si>
  <si>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</si>
  <si>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</si>
  <si>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здесь скрыл 225 (собственное имущество) ТО охранно-пожарной сигнализации и КТС (еще есть КТС на 226, оно осталось, т.к. это не собственное имущество)</t>
  </si>
  <si>
    <t xml:space="preserve">Техническое обслуживание и ремонт охранно-пожарной сигнализации на объекте </t>
  </si>
  <si>
    <t>кв.м</t>
  </si>
  <si>
    <t>Техническое обслуживание кнопки тревожной сигнализации на объекте здания</t>
  </si>
  <si>
    <t>устройство</t>
  </si>
  <si>
    <t>Услуги по ТО и ремонту средств вычислительной и офисной техники, переферийного оборудования, устройств связи и защиты информации (АЦК-планирование и АЦК-финансы)</t>
  </si>
  <si>
    <t>Программное ТО (чистка временных данных, проверка на вирусы, обновление ПО) , тех. обслуживание (очистка от пыли и тонера, очистка сканера, очистка роликов, тестирование копированием на разных форматах)</t>
  </si>
  <si>
    <t>Огнезащитная обработка декораций</t>
  </si>
  <si>
    <t>Техническое обслуживание и текущий ремонт машины стиральной Electrolux W 4240H и сушильного барабана Electrolux Т 4290 (ежемесячно, кроме января, июля, августа)</t>
  </si>
  <si>
    <t>Программное ТО (чистка временных данных, проверка на вирусы, обновление ПО), тех. обслуживание (очистка от пыли и тонера, очистка сканера, очистка роликов, тестирование копированием на разных форматах)</t>
  </si>
  <si>
    <t>Заправка картриджей</t>
  </si>
  <si>
    <t>услуга</t>
  </si>
  <si>
    <t>5.5.4. Обоснования (расчеты) расходов на услуги по перезарядке и техническому освидетельствованию огнетушителей</t>
  </si>
  <si>
    <t>здесь скрыл по 2-ке перезарядку огнетушителей и ТО</t>
  </si>
  <si>
    <t>Стоимость</t>
  </si>
  <si>
    <t>за ед. руб</t>
  </si>
  <si>
    <t>Перезарядка огнетушителей</t>
  </si>
  <si>
    <t>ОП-4</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</si>
  <si>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</si>
  <si>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</si>
  <si>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</si>
  <si>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</si>
  <si>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</si>
  <si>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</si>
  <si>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Отраслевой код: 3.04.4.02.20980.100000 (КОСГУ 226)</t>
  </si>
  <si>
    <t>Кол-во постов охраны</t>
  </si>
  <si>
    <t xml:space="preserve">Кол-во часов охраны </t>
  </si>
  <si>
    <t>Стоимость охраны за час, руб.</t>
  </si>
  <si>
    <t>в год, час.</t>
  </si>
  <si>
    <t>Невооруженная охрана объекта</t>
  </si>
  <si>
    <t>5.6.2. Обоснования (расчеты) расходов оплату прочих работ, услуг (за исключением расходов на невооруженную охрану объекта)</t>
  </si>
  <si>
    <t>Отраслевой код: 3.04.4.02.20980.100000 (КОСГУ 226, 224)</t>
  </si>
  <si>
    <t>Единица измерений</t>
  </si>
  <si>
    <t>Количество, ед</t>
  </si>
  <si>
    <t>Услуги по охране объектов путем оперативного реагирования наряда полиции по тревожному сообщению (КТС)</t>
  </si>
  <si>
    <t>месяц</t>
  </si>
  <si>
    <t>Сопровождение СЭД "Дело"</t>
  </si>
  <si>
    <t>Услуги по сопровождению сайта</t>
  </si>
  <si>
    <t xml:space="preserve">Неисключительное право на использование программного обеспечения Антивирус </t>
  </si>
  <si>
    <t>Услуги по администрированию Баз данных</t>
  </si>
  <si>
    <t>Обслуживание  электронного справочника "Гарант"</t>
  </si>
  <si>
    <t>Перевыпуск сертификата ключа проверки электронной подписи для осуществлений операций на сайте http://zakupki.gov.ru</t>
  </si>
  <si>
    <t>здесь скрыл ТО Филармония</t>
  </si>
  <si>
    <t>Услуги по техническому сопровождению при проведении мероприятий в МАУ "Сургутская филармония" (КОСГУ 226)</t>
  </si>
  <si>
    <t>Услуги по обслуживанию программных продуктов  "1С учреждения" (КОСГУ 226)</t>
  </si>
  <si>
    <t>Арендная плата за помещение по адресу г. Сургут ул. Энгельса, д.11 (КОСГУ 224)</t>
  </si>
  <si>
    <t>м2</t>
  </si>
  <si>
    <t>Средняя стоимость за ед., руб</t>
  </si>
  <si>
    <t>за ед., руб</t>
  </si>
  <si>
    <t>Код субсидии: 3-512-0000</t>
  </si>
  <si>
    <t>Отраслевой код: 3.34.0.03.20980.200000 (КОСГУ 226)</t>
  </si>
  <si>
    <t>Услуги по специальной оценке условий труда</t>
  </si>
  <si>
    <t>здесь скрыл иные на РАО (ВОИС) и другие расходы по 226</t>
  </si>
  <si>
    <t>5.7. Обоснования (расчеты) расходов на проведение ремонта зданий и сооружений:</t>
  </si>
  <si>
    <t>Единица измерения</t>
  </si>
  <si>
    <t>5.8. Обоснования (расчеты) расходов на страхование:</t>
  </si>
  <si>
    <t xml:space="preserve"> за ед., руб</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</si>
  <si>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</si>
  <si>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</si>
  <si>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Услуги по проведению онлайн -семинара</t>
  </si>
  <si>
    <t>5.9. Обоснования (расчеты) расходов на приобретение основных средств, материальных запасов:</t>
  </si>
  <si>
    <t>Отраслевой код: 3.04.4.02.20980.100000 (КОСГУ 346, 345)</t>
  </si>
  <si>
    <t>здесь скрыл иные 346</t>
  </si>
  <si>
    <t>Отраслевой код: 3.04.4.02.20980.100000 (КОСГУ 346)</t>
  </si>
  <si>
    <t xml:space="preserve">Увеличение стоимости материальных запасов </t>
  </si>
  <si>
    <t xml:space="preserve">шт. </t>
  </si>
  <si>
    <t>здесь скрыл СИЗ (маски и анисептик) по иным 346 (84 487,20)</t>
  </si>
  <si>
    <t>Код субсидии: 3-542-0304</t>
  </si>
  <si>
    <t>Приобретение средств индивидуальной защиты, дезинфицирующих средств, средств для уборки и обработки административных помещений (маски)</t>
  </si>
  <si>
    <t>Приобретение средств индивидуальной защиты, дезинфицирующих средств, средств для уборки и обработки административных помещений (антисептик)</t>
  </si>
  <si>
    <t>л</t>
  </si>
  <si>
    <t>Отраслевой код: 3.04.4.02.L5170.100000</t>
  </si>
  <si>
    <t>Приобретение основных средств (оборудования) (КОСГУ 310)</t>
  </si>
  <si>
    <t>Код субсидии: 3-001-5204</t>
  </si>
  <si>
    <t>Код субсидии: 3-001-2214</t>
  </si>
  <si>
    <t>здесь скрыл Депутаткие по иным 345,346,310</t>
  </si>
  <si>
    <t>Отраслевой код: 3.04.4.02.20980.100000</t>
  </si>
  <si>
    <t>Приобретение основных средств (КОСГУ 310)  (депутатские средства)</t>
  </si>
  <si>
    <t>здесь скрыл Выпадающие по ОС по иным</t>
  </si>
  <si>
    <t>шт</t>
  </si>
  <si>
    <t>Полиграфия (афишы, банеры, листовки) (КОСГУ 346)</t>
  </si>
  <si>
    <t>Изготовление полиграфической продукции (бланков билетов строгой отчетности) (КОСГУ 349)</t>
  </si>
  <si>
    <t>экз.</t>
  </si>
  <si>
    <t>шт.</t>
  </si>
  <si>
    <t>Источник финансового обеспечения</t>
  </si>
  <si>
    <t>2021 год</t>
  </si>
  <si>
    <t>2022 год</t>
  </si>
  <si>
    <t>Субсидия на иные цели (5-ка)</t>
  </si>
  <si>
    <t>скрыть, проверка для себя</t>
  </si>
  <si>
    <t>Субсидия на финансовое обеспечение выполнения муниципального задания(4-ка)</t>
  </si>
  <si>
    <t>Доход от приносящей доход деятельности (2-ка)</t>
  </si>
  <si>
    <t>Муниципальные услуги:</t>
  </si>
  <si>
    <t>Муниципальные работы:</t>
  </si>
  <si>
    <t>Муниципальное автономное учреждение «Театр актера и куклы «Петрушка»</t>
  </si>
  <si>
    <t xml:space="preserve">Источник доходов : субсидия на цели, не связанные с финансовым обеспечением выполнения муниципального задания </t>
  </si>
  <si>
    <t>Аналитическая группа : 00000000000000130</t>
  </si>
  <si>
    <t>Аналитическая группа : 00000000000000150</t>
  </si>
  <si>
    <t>иные выплаты</t>
  </si>
  <si>
    <t>Услуги по проведению оценки профессиональных рисков в учреждении (КОСГУ 226)</t>
  </si>
  <si>
    <t>Услуги по реализации билетов (электронных билетов) через сайт https://quicktickets.ru в сети Интернет (КОСГУ 226)</t>
  </si>
  <si>
    <t>Услуги по проведению оценки качества огнезащитной обработки декараций</t>
  </si>
  <si>
    <t>Услуги санитарной обработки кулеров для воды (2 шт.)</t>
  </si>
  <si>
    <t>Прочие выплаты (суточые) (КОСГУ 212)</t>
  </si>
  <si>
    <t>Прочие работы и, услуги (проезд, проживание в коммандировке) (КОСГУ 226)</t>
  </si>
  <si>
    <t>Кол-во дней</t>
  </si>
  <si>
    <t>Кол-во работников, чел.</t>
  </si>
  <si>
    <t>300/500</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</si>
  <si>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</si>
  <si>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</si>
  <si>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</si>
  <si>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</si>
  <si>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</si>
  <si>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</si>
  <si>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</si>
  <si>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</si>
  <si>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</si>
  <si>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</si>
  <si>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</si>
  <si>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</si>
  <si>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</si>
  <si>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</si>
  <si>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</si>
  <si>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</si>
  <si>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</si>
  <si>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</si>
  <si>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</si>
  <si>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</si>
  <si>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</si>
  <si>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</si>
  <si>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</si>
  <si>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</si>
  <si>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</si>
  <si>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</si>
  <si>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</si>
  <si>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</si>
  <si>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</si>
  <si>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скрыты 100-108</t>
  </si>
  <si>
    <t>скрыты 77-79</t>
  </si>
  <si>
    <t>скрыты 47-51</t>
  </si>
  <si>
    <t>скрыты 43-44</t>
  </si>
  <si>
    <t>291, 297, 295</t>
  </si>
  <si>
    <t>212, 214, 226, 266</t>
  </si>
  <si>
    <t>211, 266</t>
  </si>
  <si>
    <t>Код субсидии: 3-790-2301</t>
  </si>
  <si>
    <t>Отраслевой код: 3.04.4.02.85160.000000</t>
  </si>
  <si>
    <t>221,222,223,224, 225,226,310,340</t>
  </si>
  <si>
    <t>Возмещение расходов на проезд к месту учебы</t>
  </si>
  <si>
    <t>Оплата услуг нотариуса по внесению изменений в учредительные документы (Устав) (КОСГУ 226)</t>
  </si>
  <si>
    <r>
      <t>Отраслевой код: 3.04.4.02.20980.</t>
    </r>
    <r>
      <rPr>
        <sz val="11"/>
        <color rgb="FFC00000"/>
        <rFont val="Times New Roman"/>
        <family val="1"/>
        <charset val="204"/>
      </rPr>
      <t>7</t>
    </r>
    <r>
      <rPr>
        <sz val="11"/>
        <color theme="1"/>
        <rFont val="Times New Roman"/>
        <family val="1"/>
        <charset val="204"/>
      </rPr>
      <t>00000 (КОСГУ 226)</t>
    </r>
  </si>
  <si>
    <t>Оплата дизайнерских услуг и услуг по организации фотосессии коллектива театра (КОСГУ 226)  (депутатские средства)</t>
  </si>
  <si>
    <t>Приобретение материальных запасов (КОСГУ 346)  (депутатские средства)</t>
  </si>
  <si>
    <t>Приобретение материальных запасов (сувенирная продукция) (КОСГУ 349)  (депутатские средства)</t>
  </si>
  <si>
    <t>Оплата услуг по организации и проведению фестиваля "КУКЛАград", услуг по разработке макетов и печати</t>
  </si>
  <si>
    <t>Услуги по предоставлению неисключительного права использования базы данных - Электронной системы "Культура"</t>
  </si>
  <si>
    <t>Объем расходов на содержание недвижимого имущества и особого ценного движимого имущества, расходов на уплату налогов</t>
  </si>
  <si>
    <t>Объем расходов на приобретение основных средств</t>
  </si>
  <si>
    <t>Комплектующие (жидкости для машин мыльных пузырей, генераторов дыма и тумана, картриджи) (КОСГУ 346)</t>
  </si>
  <si>
    <t>Оказание услугпо утилизации оборудования (шуруповерт, телефон, электроконвектор) и декорации "Комар" (КОСГУ 226)</t>
  </si>
  <si>
    <t>2023 год</t>
  </si>
  <si>
    <t>доп средства</t>
  </si>
  <si>
    <t xml:space="preserve">федеральные </t>
  </si>
  <si>
    <t>план по 4</t>
  </si>
  <si>
    <t>30440220980100000</t>
  </si>
  <si>
    <t>30010000</t>
  </si>
  <si>
    <t>30440220980200000</t>
  </si>
  <si>
    <t>30440220980210000</t>
  </si>
  <si>
    <t>30440220980300000</t>
  </si>
  <si>
    <t>30440220980700000</t>
  </si>
  <si>
    <t>304402L5170000000</t>
  </si>
  <si>
    <t>30012214</t>
  </si>
  <si>
    <t>2/211/266</t>
  </si>
  <si>
    <t>112/266</t>
  </si>
  <si>
    <t>4/112/266</t>
  </si>
  <si>
    <t>К.А. Базарова</t>
  </si>
  <si>
    <t>веущий экономист</t>
  </si>
  <si>
    <t>Председатель комитета культуры Администрации города</t>
  </si>
  <si>
    <t>А.А. Акулов</t>
  </si>
  <si>
    <t>10</t>
  </si>
  <si>
    <t>на 2022 год (на текущий финансовый год)</t>
  </si>
  <si>
    <t>на 2023 год (на первый год планового периода)</t>
  </si>
  <si>
    <t>на 2024 год (на второй год планового периода)</t>
  </si>
  <si>
    <t>Всего на 2023 год 
(на первый год планового периода), руб</t>
  </si>
  <si>
    <t>Всего на 2022 год 
(на текущий финансовый год), руб</t>
  </si>
  <si>
    <t>Всего на 2024 год 
(на второй год планового периода), руб</t>
  </si>
  <si>
    <t>Всего доходов на 2022 год 
(на текущий финансовый год), руб</t>
  </si>
  <si>
    <t>Всего доходов на 2023 год 
(на первый год планового периода), руб</t>
  </si>
  <si>
    <t>Всего доходов на 2024 год 
(на второй год планового периода), руб</t>
  </si>
  <si>
    <t>по пфхд 2022 год</t>
  </si>
  <si>
    <t>отклонение</t>
  </si>
  <si>
    <t>КВФО 4</t>
  </si>
  <si>
    <t>КВФО 2</t>
  </si>
  <si>
    <t>Поставка новогодних подарков 
(КОСГУ 349)</t>
  </si>
  <si>
    <t>Приобретение материальных запасов (бутилированной питьевой воды) 
(КОСГУ 342)</t>
  </si>
  <si>
    <t>Приобретение материальных запасов (лекарственные препараты и материалы, применяемые в медицинских целях) 
(КОСГУ 341)</t>
  </si>
  <si>
    <t>Приобретение мягкого инвентаря и вещевого обмундирования (спецодежды,  спецобуви, одежды, обуви, рабочих перчаток и т.п.) 
(КОСГУ 345)</t>
  </si>
  <si>
    <t>00000000</t>
  </si>
  <si>
    <t>Огнезащитная обработка деревянных конструкций</t>
  </si>
  <si>
    <t>соц выплаты</t>
  </si>
  <si>
    <t xml:space="preserve">зп </t>
  </si>
  <si>
    <t>добавить содержание</t>
  </si>
  <si>
    <t>окружн</t>
  </si>
  <si>
    <t>выхлд на пенс</t>
  </si>
  <si>
    <t>до 3-х лет</t>
  </si>
  <si>
    <t>ПО ПРОЕКТУ БЮДЖЕТА</t>
  </si>
  <si>
    <t>ДОВЕДЕННЫЕ ЛИМИТЫ</t>
  </si>
  <si>
    <t>Объем расходов на уплату налогов*</t>
  </si>
  <si>
    <t>количество видеотрансляций
 (в записи), единица</t>
  </si>
  <si>
    <t>количество проведенных мероприятий, единица</t>
  </si>
  <si>
    <t>количество участников 
мероприятий, человек</t>
  </si>
  <si>
    <t>количество новых (капитально-возобновленных) постановок, единица</t>
  </si>
  <si>
    <t>количество участников мероприятий, человек</t>
  </si>
  <si>
    <t>900400О.99.0.ББ67АА01002 Показ (организация показа) спектаклей (театральных постановок).  С учетом всех форм. На выезде.(платно)</t>
  </si>
  <si>
    <t>900400О.99.0.ББ67АА00002 Показ (организация показа) спектаклей (театральных постановок) с учетом всех форм. Стационар.(платно)</t>
  </si>
  <si>
    <t>900400.Р.86.1.05740004 Организация и проведение культурно-массовых мероприятий (Творческих (фестиваль, выстав-ка, конкурс, смотр) (платно)</t>
  </si>
  <si>
    <t>900400.Р.86.1.05740005 Организация и проведение культурно-массовых мероприятий (культурно - массовых (иные зрелищные мероприятия) (платно)</t>
  </si>
  <si>
    <t>900400.Р.86.1.05740006 Организация и проведение культурно-массовых мероприятий (Мастер-классы) (платно)</t>
  </si>
  <si>
    <t>900400О.99.0.ББ80АА01002 Показ (организация показа) спектаклей (театральных постановок).  С учетом всех форм. На выезде.(бесплатно)</t>
  </si>
  <si>
    <t>900000О.99.0.БИ57АА00000 Показ спектаклей (театральных постановок). 
В информационно-коммуникационной сети "Интернет" (онлайн). Онлайн - на официальном сайте учреждения</t>
  </si>
  <si>
    <t>900400.Р.86.1.04950005 Организация и проведение культурно-массовых мероприятий (культурно - массовых (иные зрелищные мероприятия) (бесплатно)</t>
  </si>
  <si>
    <t>900211.Р.86.1.04800001 Создание спектаклей. Малая форма (камерный спектакль). С учетом всех форм (бесплатно)</t>
  </si>
  <si>
    <t>5.</t>
  </si>
  <si>
    <t>на 2022 г. текущий финансовый год</t>
  </si>
  <si>
    <t>на 2023 г. первый год планового периода</t>
  </si>
  <si>
    <t>на 2024 г. второй год планового периода</t>
  </si>
  <si>
    <t>на 2024 г</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</si>
  <si>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</si>
  <si>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2024</t>
  </si>
  <si>
    <t>3.4.0001.0000</t>
  </si>
  <si>
    <t>30440220980840000</t>
  </si>
  <si>
    <t>спец.одежда</t>
  </si>
  <si>
    <t>федер</t>
  </si>
  <si>
    <t>Е.А. Блинова</t>
  </si>
  <si>
    <t xml:space="preserve">План финансово-хозяйственной деятельности на 2022 г. </t>
  </si>
  <si>
    <t>и плановый период 2023 и 2024 годов</t>
  </si>
  <si>
    <t>на 2022 год 
(на текущий финансовый год)</t>
  </si>
  <si>
    <t>на 2023 год 
(на первый год планового периода)</t>
  </si>
  <si>
    <t>на 2024 год 
(на второй год планового периода)</t>
  </si>
  <si>
    <t>Услуги по организации постановки спектаклей в т.ч. услуги дизайнеров 
( в рамках городских мероприятий)</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</si>
  <si>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</si>
  <si>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</si>
  <si>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</si>
  <si>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по обслуживанию программных продуктов "1С" 
(КОСГУ 226)</t>
  </si>
  <si>
    <t>Услуги по переходу с 1С:Бухгалтерия государственного учреждения с версии 1.0 на версию 2.0, настройка онлайн-кассы в 1С:Бухгалтерия государственного учреждения  версии 2.0 
(КОСГУ 226)</t>
  </si>
  <si>
    <t>Оказание услуг по организации и проведению семинаров (обучение, в режиме онлайн) 
(КОСГУ 226)</t>
  </si>
  <si>
    <t>Услуги по изготовлению и размещению рекламной продукции в лифтах многоквартирных домов 
(КОСГУ 226)</t>
  </si>
  <si>
    <t>Монтажные и пусконаладочные работы системы охранного телевидения (СОТ) (антитеррор) 
(КОСГУ 226)</t>
  </si>
  <si>
    <t>Услуги по настройке и подключению программно-аппаратного комплекса (онлайн-кассы) для формирования и передачи фискальных данных о выполненных кассовых операциях 
(3 кассовых аппарата) 
(КОСГУ 226)</t>
  </si>
  <si>
    <t>Услуги аниматоров-статистов 
(КОСГУ 226)</t>
  </si>
  <si>
    <t>Оказание дизайнерских услуг на разработке афиш, программок для спектаклей текущего репертуара 
(КОСГУ 226)</t>
  </si>
  <si>
    <t>Оказание услуг по сопросовждению спектаклей, театрализованных представлений, проводимых в АНО "Мультимедийный исторический парк 
"Моя история"
(КОСГУ 226)</t>
  </si>
  <si>
    <t>Оказание услуг (выполнение работ) по сопровождению сайта 
(КОСГУ 226)</t>
  </si>
  <si>
    <t>Оказание услуг по приобретению программного обеспечения (операционная система Windows)
(КОСГУ 226)</t>
  </si>
  <si>
    <t>Оказание услуг по пошиву одежды артистическому персоналу (в рамках текущей деятельности) 
(КОСГУ 226)</t>
  </si>
  <si>
    <t>Приобретение материальных запасов (канцтовары) 
КОСГУ 346</t>
  </si>
  <si>
    <t>Приобретение материальных запасов (спецодежда) 
КОСГУ 345</t>
  </si>
  <si>
    <t>Канцелярские товары
(КОСГУ 346)</t>
  </si>
  <si>
    <t>Комплектующие (для звукового и светового оборудования) 
(КОСГУ 346)</t>
  </si>
  <si>
    <t>Приобретение материальных запасов (прочие) 
(КОСГУ 346)</t>
  </si>
  <si>
    <t>Приобретениехозяйственных товаров (прочие) 
(КОСГУ 346)</t>
  </si>
  <si>
    <t>Услуги по техническому сопровождению при проведении мероприятий в 
МАУ "Сургутская филармония" 
(КОСГУ 226)</t>
  </si>
  <si>
    <t>Отраслевой код: 3.04.4.02.20980.700000 (КОСГУ 226)</t>
  </si>
  <si>
    <t>Приобретение материальных запасов (в т.ч. мягкий инвентарь) на создание спектаклей 
(в рамках городских мероприятий)</t>
  </si>
  <si>
    <t>Отраслевой код: 3.04.4.02.20980.700000 (КОСГУ 346)</t>
  </si>
  <si>
    <t xml:space="preserve">Источник финансового обеспечения: средства от приносящей доход деятельности </t>
  </si>
  <si>
    <t>"____ "_________2022 г.</t>
  </si>
  <si>
    <t>22</t>
  </si>
  <si>
    <t>(КВФО 2)</t>
  </si>
  <si>
    <t>(КВФО 4)</t>
  </si>
  <si>
    <t xml:space="preserve">итого </t>
  </si>
  <si>
    <t>от «___»____________2022 г.</t>
  </si>
  <si>
    <t xml:space="preserve">№ 1. внесение остатков от 12.01.2022 </t>
  </si>
  <si>
    <t>№ 2. от 15.02.2022</t>
  </si>
  <si>
    <t xml:space="preserve">Приобретение основных средств 
(КОСГУ 310)  </t>
  </si>
  <si>
    <t>№ 3. от 16.03.2022</t>
  </si>
  <si>
    <t>№ 5. от 12.04.2022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</si>
</sst>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 numFmtId="177" formatCode="#,##0\ _₽"/>
  </numFmts>
  <fonts count="93">
    <font>
      <sz val="11"/>
      <color theme="1"/>
      <name val="Calibri"/>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b/>
      <sz val="12"/>
      <color indexed="64"/>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7"/>
      <color indexed="64"/>
      <name val="Times New Roman"/>
      <family val="1"/>
      <charset val="204"/>
    </font>
    <font>
      <sz val="6"/>
      <color indexed="64"/>
      <name val="Times New Roman"/>
      <family val="1"/>
      <charset val="204"/>
    </font>
    <font>
      <b/>
      <sz val="9"/>
      <color indexed="64"/>
      <name val="Times New Roman"/>
      <family val="1"/>
      <charset val="204"/>
    </font>
    <font>
      <sz val="8"/>
      <color indexed="64"/>
      <name val="Times New Roman"/>
      <family val="1"/>
      <charset val="204"/>
    </font>
    <font>
      <b/>
      <sz val="14"/>
      <color indexed="64"/>
      <name val="Times New Roman"/>
      <family val="1"/>
      <charset val="204"/>
    </font>
    <font>
      <b/>
      <sz val="8"/>
      <color indexed="64"/>
      <name val="Times New Roman"/>
      <family val="1"/>
      <charset val="204"/>
    </font>
    <font>
      <sz val="11"/>
      <color indexed="64"/>
      <name val="Times New Roman"/>
      <family val="1"/>
      <charset val="204"/>
    </font>
    <font>
      <sz val="16"/>
      <color indexed="64"/>
      <name val="Times New Roman"/>
      <family val="1"/>
      <charset val="204"/>
    </font>
    <font>
      <b/>
      <sz val="11"/>
      <color theme="1"/>
      <name val="Times New Roman"/>
      <family val="1"/>
      <charset val="204"/>
    </font>
    <font>
      <vertAlign val="superscript"/>
      <sz val="11"/>
      <color theme="1"/>
      <name val="Times New Roman"/>
      <family val="1"/>
      <charset val="204"/>
    </font>
    <font>
      <u/>
      <sz val="11"/>
      <color theme="1"/>
      <name val="Times New Roman"/>
      <family val="1"/>
      <charset val="204"/>
    </font>
    <font>
      <sz val="14"/>
      <color theme="1"/>
      <name val="Times New Roman"/>
      <family val="1"/>
      <charset val="204"/>
    </font>
    <font>
      <u/>
      <sz val="16"/>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3.5"/>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0"/>
      <color theme="0"/>
      <name val="Times New Roman"/>
      <family val="1"/>
      <charset val="204"/>
    </font>
    <font>
      <sz val="8"/>
      <color theme="1"/>
      <name val="Times New Roman"/>
      <family val="1"/>
      <charset val="204"/>
    </font>
    <font>
      <sz val="10"/>
      <color theme="1"/>
      <name val="Calibri"/>
      <family val="2"/>
      <charset val="204"/>
      <scheme val="minor"/>
    </font>
    <font>
      <sz val="11"/>
      <color theme="1"/>
      <name val="Calibri"/>
      <family val="2"/>
      <charset val="204"/>
      <scheme val="minor"/>
    </font>
    <font>
      <u/>
      <sz val="20"/>
      <color theme="1"/>
      <name val="Times New Roman"/>
      <family val="1"/>
      <charset val="204"/>
    </font>
    <font>
      <sz val="11"/>
      <color rgb="FFC00000"/>
      <name val="Times New Roman"/>
      <family val="1"/>
      <charset val="204"/>
    </font>
    <font>
      <sz val="11"/>
      <color rgb="FF000099"/>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8"/>
      <color rgb="FFFF0000"/>
      <name val="Calibri"/>
      <family val="2"/>
      <charset val="204"/>
      <scheme val="minor"/>
    </font>
    <font>
      <i/>
      <sz val="11"/>
      <color rgb="FFC00000"/>
      <name val="Times New Roman"/>
      <family val="1"/>
      <charset val="204"/>
    </font>
    <font>
      <sz val="12"/>
      <color theme="0"/>
      <name val="Times New Roman"/>
      <family val="1"/>
      <charset val="204"/>
    </font>
    <font>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1"/>
      <color theme="6" tint="-0.499984740745262"/>
      <name val="Times New Roman"/>
      <family val="1"/>
      <charset val="204"/>
    </font>
    <font>
      <sz val="11"/>
      <color rgb="FF0000CC"/>
      <name val="Times New Roman"/>
      <family val="1"/>
      <charset val="204"/>
    </font>
    <font>
      <b/>
      <sz val="12"/>
      <color rgb="FF009900"/>
      <name val="Times New Roman"/>
      <family val="1"/>
      <charset val="204"/>
    </font>
    <font>
      <sz val="11"/>
      <color rgb="FF009900"/>
      <name val="Calibri"/>
      <family val="2"/>
      <charset val="204"/>
      <scheme val="minor"/>
    </font>
    <font>
      <sz val="12"/>
      <color rgb="FF009900"/>
      <name val="Times New Roman"/>
      <family val="1"/>
      <charset val="204"/>
    </font>
    <font>
      <sz val="11"/>
      <color rgb="FF009900"/>
      <name val="Times New Roman"/>
      <family val="1"/>
      <charset val="204"/>
    </font>
    <font>
      <sz val="10"/>
      <color rgb="FF009900"/>
      <name val="Times New Roman"/>
      <family val="1"/>
      <charset val="204"/>
    </font>
    <font>
      <sz val="11"/>
      <color rgb="FF0070C0"/>
      <name val="Times New Roman"/>
      <family val="1"/>
      <charset val="204"/>
    </font>
    <font>
      <sz val="11"/>
      <color rgb="FF00B050"/>
      <name val="Times New Roman"/>
      <family val="1"/>
      <charset val="204"/>
    </font>
    <font>
      <sz val="10"/>
      <color rgb="FF00B050"/>
      <name val="Times New Roman"/>
      <family val="1"/>
      <charset val="204"/>
    </font>
    <font>
      <sz val="8"/>
      <color rgb="FF00B050"/>
      <name val="Times New Roman"/>
      <family val="1"/>
      <charset val="204"/>
    </font>
    <font>
      <b/>
      <sz val="10"/>
      <color rgb="FF00B050"/>
      <name val="Times New Roman"/>
      <family val="1"/>
      <charset val="204"/>
    </font>
    <font>
      <sz val="10"/>
      <color rgb="FF00B050"/>
      <name val="Calibri"/>
      <family val="2"/>
      <charset val="204"/>
      <scheme val="minor"/>
    </font>
    <font>
      <sz val="11"/>
      <color rgb="FFFF0000"/>
      <name val="Times New Roman"/>
      <family val="1"/>
      <charset val="204"/>
    </font>
    <font>
      <b/>
      <sz val="10"/>
      <name val="Times New Roman"/>
      <family val="1"/>
      <charset val="204"/>
    </font>
    <font>
      <sz val="12"/>
      <color rgb="FF0000CC"/>
      <name val="Times New Roman"/>
      <family val="1"/>
      <charset val="204"/>
    </font>
    <font>
      <sz val="12"/>
      <name val="Times New Roman"/>
      <family val="1"/>
      <charset val="204"/>
    </font>
    <font>
      <sz val="12"/>
      <color indexed="64"/>
      <name val="Arial Cyr"/>
    </font>
    <font>
      <sz val="14"/>
      <color indexed="64"/>
      <name val="Times New Roman"/>
      <family val="1"/>
      <charset val="204"/>
    </font>
    <font>
      <sz val="14"/>
      <color rgb="FFC00000"/>
      <name val="Times New Roman"/>
      <family val="1"/>
      <charset val="204"/>
    </font>
    <font>
      <sz val="10"/>
      <color rgb="FF0000CC"/>
      <name val="Times New Roman"/>
      <family val="1"/>
      <charset val="204"/>
    </font>
    <font>
      <sz val="10"/>
      <color rgb="FF0000CC"/>
      <name val="Calibri"/>
      <family val="2"/>
      <charset val="204"/>
      <scheme val="minor"/>
    </font>
    <font>
      <b/>
      <sz val="10"/>
      <color rgb="FF0000CC"/>
      <name val="Times New Roman"/>
      <family val="1"/>
      <charset val="204"/>
    </font>
    <font>
      <i/>
      <sz val="11"/>
      <color rgb="FF7030A0"/>
      <name val="Times New Roman"/>
      <family val="1"/>
      <charset val="204"/>
    </font>
    <font>
      <b/>
      <i/>
      <sz val="11"/>
      <color rgb="FF7030A0"/>
      <name val="Times New Roman"/>
      <family val="1"/>
      <charset val="204"/>
    </font>
    <font>
      <sz val="11"/>
      <color rgb="FF7030A0"/>
      <name val="Times New Roman"/>
      <family val="1"/>
      <charset val="204"/>
    </font>
    <font>
      <sz val="8"/>
      <name val="Times New Roman"/>
      <family val="1"/>
      <charset val="204"/>
    </font>
    <font>
      <sz val="11"/>
      <name val="Calibri"/>
      <family val="2"/>
      <charset val="204"/>
      <scheme val="minor"/>
    </font>
    <font>
      <sz val="14"/>
      <name val="Times New Roman"/>
      <family val="1"/>
      <charset val="204"/>
    </font>
    <font>
      <sz val="12"/>
      <name val="Calibri"/>
      <family val="2"/>
      <charset val="204"/>
      <scheme val="minor"/>
    </font>
    <font>
      <b/>
      <sz val="16"/>
      <color theme="1"/>
      <name val="Times New Roman"/>
      <family val="1"/>
      <charset val="204"/>
    </font>
  </fonts>
  <fills count="17">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79998168889431442"/>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1" fillId="0" borderId="0"/>
    <xf numFmtId="0" fontId="1" fillId="0" borderId="0"/>
    <xf numFmtId="164" fontId="2" fillId="0" borderId="0" applyFont="0" applyFill="0" applyBorder="0"/>
    <xf numFmtId="165" fontId="2" fillId="0" borderId="0" applyFont="0" applyFill="0" applyBorder="0"/>
    <xf numFmtId="166" fontId="2" fillId="0" borderId="0" applyFont="0" applyFill="0" applyBorder="0"/>
    <xf numFmtId="167" fontId="2" fillId="0" borderId="0" applyFont="0" applyFill="0" applyBorder="0"/>
    <xf numFmtId="168" fontId="2" fillId="0" borderId="0" applyFont="0" applyFill="0" applyBorder="0"/>
    <xf numFmtId="169" fontId="2" fillId="0" borderId="0" applyFont="0" applyFill="0" applyBorder="0"/>
    <xf numFmtId="170" fontId="2" fillId="0" borderId="0" applyFont="0" applyFill="0" applyBorder="0"/>
    <xf numFmtId="0" fontId="2" fillId="0" borderId="0"/>
    <xf numFmtId="0" fontId="3" fillId="0" borderId="0" applyNumberFormat="0" applyFill="0" applyBorder="0"/>
    <xf numFmtId="0" fontId="2" fillId="0" borderId="0"/>
    <xf numFmtId="0" fontId="4" fillId="0" borderId="0"/>
    <xf numFmtId="0" fontId="47" fillId="0" borderId="0"/>
    <xf numFmtId="0" fontId="4" fillId="0" borderId="0"/>
    <xf numFmtId="0" fontId="4" fillId="0" borderId="0"/>
    <xf numFmtId="0" fontId="4" fillId="0" borderId="0"/>
    <xf numFmtId="0" fontId="4" fillId="0" borderId="0"/>
    <xf numFmtId="0" fontId="4" fillId="0" borderId="0"/>
    <xf numFmtId="0" fontId="47" fillId="0" borderId="0"/>
    <xf numFmtId="0" fontId="47" fillId="0" borderId="0"/>
    <xf numFmtId="0" fontId="2" fillId="0" borderId="0"/>
    <xf numFmtId="0" fontId="4" fillId="0" borderId="0"/>
    <xf numFmtId="0" fontId="2" fillId="0" borderId="0"/>
    <xf numFmtId="0" fontId="47" fillId="0" borderId="0"/>
    <xf numFmtId="0" fontId="5" fillId="0" borderId="0"/>
    <xf numFmtId="0" fontId="4" fillId="2" borderId="1" applyNumberFormat="0" applyFont="0"/>
    <xf numFmtId="0" fontId="1" fillId="0" borderId="0"/>
    <xf numFmtId="171" fontId="6" fillId="0" borderId="0" applyFont="0" applyFill="0" applyBorder="0"/>
    <xf numFmtId="172" fontId="6" fillId="0" borderId="0" applyFont="0" applyFill="0" applyBorder="0"/>
    <xf numFmtId="168" fontId="2" fillId="0" borderId="0" applyFont="0" applyFill="0" applyBorder="0"/>
    <xf numFmtId="173" fontId="2" fillId="0" borderId="0" applyFont="0" applyFill="0" applyBorder="0"/>
    <xf numFmtId="43" fontId="2" fillId="0" borderId="0" applyFont="0" applyFill="0" applyBorder="0"/>
    <xf numFmtId="173" fontId="2" fillId="0" borderId="0" applyFont="0" applyFill="0" applyBorder="0"/>
    <xf numFmtId="173" fontId="2" fillId="0" borderId="0" applyFont="0" applyFill="0" applyBorder="0"/>
    <xf numFmtId="173" fontId="2" fillId="0" borderId="0" applyFont="0" applyFill="0" applyBorder="0"/>
    <xf numFmtId="173" fontId="47" fillId="0" borderId="0" applyFont="0" applyFill="0" applyBorder="0"/>
    <xf numFmtId="0" fontId="4" fillId="0" borderId="0"/>
  </cellStyleXfs>
  <cellXfs count="992">
    <xf numFmtId="0" fontId="0" fillId="0" borderId="0" xfId="0"/>
    <xf numFmtId="0" fontId="7" fillId="0" borderId="0" xfId="0" applyFont="1"/>
    <xf numFmtId="0" fontId="7" fillId="0" borderId="0" xfId="0" applyFont="1" applyAlignment="1">
      <alignment horizontal="center"/>
    </xf>
    <xf numFmtId="174" fontId="7" fillId="0" borderId="0" xfId="0" applyNumberFormat="1" applyFont="1"/>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applyAlignment="1">
      <alignment horizontal="left" wrapText="1"/>
    </xf>
    <xf numFmtId="0" fontId="9" fillId="0" borderId="0" xfId="0" applyFont="1"/>
    <xf numFmtId="174" fontId="9" fillId="0" borderId="0" xfId="0" applyNumberFormat="1" applyFont="1"/>
    <xf numFmtId="0" fontId="9" fillId="0" borderId="0" xfId="0" applyFont="1" applyAlignment="1">
      <alignment wrapText="1"/>
    </xf>
    <xf numFmtId="0" fontId="9" fillId="0" borderId="2" xfId="0" applyFont="1" applyBorder="1" applyAlignment="1">
      <alignment vertical="center" wrapText="1"/>
    </xf>
    <xf numFmtId="0" fontId="9" fillId="0" borderId="0" xfId="0" applyFont="1" applyAlignment="1">
      <alignment vertical="center" wrapText="1"/>
    </xf>
    <xf numFmtId="0" fontId="9" fillId="0" borderId="0" xfId="0" applyFont="1" applyAlignment="1">
      <alignment horizontal="justify" vertical="center" wrapText="1"/>
    </xf>
    <xf numFmtId="0" fontId="9" fillId="0" borderId="0" xfId="0" applyFont="1" applyAlignment="1">
      <alignment horizontal="center"/>
    </xf>
    <xf numFmtId="174" fontId="9" fillId="0" borderId="0" xfId="0" applyNumberFormat="1" applyFont="1" applyAlignment="1">
      <alignment horizontal="center"/>
    </xf>
    <xf numFmtId="0" fontId="8" fillId="0" borderId="0" xfId="0" applyFont="1" applyAlignment="1">
      <alignment horizontal="left"/>
    </xf>
    <xf numFmtId="174" fontId="8" fillId="0" borderId="0" xfId="0" applyNumberFormat="1" applyFont="1" applyAlignment="1">
      <alignment horizontal="left"/>
    </xf>
    <xf numFmtId="0" fontId="9" fillId="0" borderId="2" xfId="0" applyFont="1" applyBorder="1" applyAlignment="1">
      <alignment horizontal="left"/>
    </xf>
    <xf numFmtId="0" fontId="8" fillId="0" borderId="2" xfId="0" applyFont="1" applyBorder="1" applyAlignment="1">
      <alignment horizontal="center"/>
    </xf>
    <xf numFmtId="0" fontId="8" fillId="0" borderId="2" xfId="0" applyFont="1" applyBorder="1" applyAlignment="1">
      <alignment horizontal="left"/>
    </xf>
    <xf numFmtId="174" fontId="8" fillId="0" borderId="2" xfId="0" applyNumberFormat="1" applyFont="1" applyBorder="1" applyAlignment="1">
      <alignment horizontal="left"/>
    </xf>
    <xf numFmtId="0" fontId="7" fillId="0" borderId="0" xfId="0" applyFont="1" applyAlignment="1">
      <alignment horizontal="left"/>
    </xf>
    <xf numFmtId="174" fontId="7" fillId="0" borderId="0" xfId="0" applyNumberFormat="1" applyFont="1" applyAlignment="1">
      <alignment horizontal="left"/>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11" fillId="3" borderId="3" xfId="0" applyFont="1" applyFill="1" applyBorder="1" applyAlignment="1">
      <alignment horizontal="center" vertical="center" wrapText="1"/>
    </xf>
    <xf numFmtId="174" fontId="10" fillId="0" borderId="3" xfId="0" applyNumberFormat="1" applyFont="1" applyBorder="1" applyAlignment="1">
      <alignment horizontal="center" vertical="center" wrapText="1"/>
    </xf>
    <xf numFmtId="0" fontId="5" fillId="0" borderId="0" xfId="26" applyFont="1"/>
    <xf numFmtId="0" fontId="13" fillId="0" borderId="3" xfId="26" applyFont="1" applyBorder="1"/>
    <xf numFmtId="0" fontId="14" fillId="0" borderId="3" xfId="26" applyFont="1" applyBorder="1" applyAlignment="1">
      <alignment horizontal="center"/>
    </xf>
    <xf numFmtId="0" fontId="14" fillId="0" borderId="3" xfId="26" applyFont="1" applyBorder="1" applyAlignment="1">
      <alignment horizontal="center" vertical="top" wrapText="1"/>
    </xf>
    <xf numFmtId="49" fontId="14" fillId="0" borderId="3" xfId="26" applyNumberFormat="1" applyFont="1" applyBorder="1" applyAlignment="1">
      <alignment horizontal="center" vertical="top"/>
    </xf>
    <xf numFmtId="0" fontId="15" fillId="0" borderId="3" xfId="26" applyFont="1" applyBorder="1" applyAlignment="1">
      <alignment horizontal="left" wrapText="1"/>
    </xf>
    <xf numFmtId="49" fontId="14" fillId="0" borderId="3" xfId="26" applyNumberFormat="1" applyFont="1" applyBorder="1" applyAlignment="1">
      <alignment horizontal="center"/>
    </xf>
    <xf numFmtId="4" fontId="14" fillId="0" borderId="3" xfId="26" applyNumberFormat="1" applyFont="1" applyBorder="1" applyAlignment="1">
      <alignment horizontal="right"/>
    </xf>
    <xf numFmtId="0" fontId="16" fillId="0" borderId="3" xfId="26" applyFont="1" applyBorder="1" applyAlignment="1">
      <alignment horizontal="left" wrapText="1"/>
    </xf>
    <xf numFmtId="49" fontId="12" fillId="0" borderId="3" xfId="26" applyNumberFormat="1" applyFont="1" applyBorder="1" applyAlignment="1">
      <alignment horizontal="center"/>
    </xf>
    <xf numFmtId="49" fontId="14" fillId="0" borderId="3" xfId="26" applyNumberFormat="1" applyFont="1" applyBorder="1" applyAlignment="1">
      <alignment horizontal="center" wrapText="1"/>
    </xf>
    <xf numFmtId="0" fontId="15" fillId="0" borderId="3" xfId="26" applyFont="1" applyBorder="1" applyAlignment="1">
      <alignment horizontal="left" wrapText="1" indent="1"/>
    </xf>
    <xf numFmtId="0" fontId="15" fillId="0" borderId="3" xfId="26" applyFont="1" applyBorder="1" applyAlignment="1">
      <alignment horizontal="left" wrapText="1" indent="3"/>
    </xf>
    <xf numFmtId="49" fontId="15" fillId="0" borderId="3" xfId="26" applyNumberFormat="1" applyFont="1" applyBorder="1" applyAlignment="1">
      <alignment horizontal="left" wrapText="1" indent="2"/>
    </xf>
    <xf numFmtId="4" fontId="14" fillId="0" borderId="3" xfId="26" applyNumberFormat="1" applyFont="1" applyBorder="1" applyAlignment="1">
      <alignment horizontal="right" wrapText="1"/>
    </xf>
    <xf numFmtId="0" fontId="15" fillId="0" borderId="3" xfId="26" applyFont="1" applyBorder="1" applyAlignment="1">
      <alignment horizontal="left" wrapText="1" indent="2"/>
    </xf>
    <xf numFmtId="0" fontId="10" fillId="0" borderId="0" xfId="0" applyFont="1"/>
    <xf numFmtId="0" fontId="10" fillId="0" borderId="0" xfId="0" applyFont="1" applyAlignment="1">
      <alignment horizontal="center"/>
    </xf>
    <xf numFmtId="174" fontId="10" fillId="0" borderId="0" xfId="0" applyNumberFormat="1" applyFont="1"/>
    <xf numFmtId="1" fontId="10" fillId="0" borderId="3" xfId="0" applyNumberFormat="1"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0" fontId="10" fillId="4" borderId="0" xfId="0" applyFont="1" applyFill="1"/>
    <xf numFmtId="4" fontId="11" fillId="4" borderId="3" xfId="0" applyNumberFormat="1" applyFont="1" applyFill="1" applyBorder="1" applyAlignment="1">
      <alignment horizontal="center" vertical="center" wrapText="1"/>
    </xf>
    <xf numFmtId="0" fontId="10" fillId="0" borderId="3" xfId="0" applyFont="1" applyBorder="1" applyAlignment="1">
      <alignment horizontal="center"/>
    </xf>
    <xf numFmtId="175" fontId="10" fillId="0" borderId="3" xfId="0" applyNumberFormat="1" applyFont="1" applyBorder="1" applyAlignment="1">
      <alignment horizontal="center" vertical="center" wrapText="1"/>
    </xf>
    <xf numFmtId="4" fontId="10" fillId="0" borderId="0" xfId="0" applyNumberFormat="1" applyFont="1"/>
    <xf numFmtId="0" fontId="10" fillId="0" borderId="4" xfId="0" applyFont="1" applyBorder="1" applyAlignment="1">
      <alignment vertical="center" wrapText="1"/>
    </xf>
    <xf numFmtId="0" fontId="10" fillId="0" borderId="5" xfId="0" applyFont="1" applyBorder="1" applyAlignment="1">
      <alignment vertical="center" wrapText="1"/>
    </xf>
    <xf numFmtId="4" fontId="11" fillId="0" borderId="3" xfId="0" applyNumberFormat="1" applyFont="1" applyBorder="1" applyAlignment="1">
      <alignment horizontal="center" vertical="center" wrapText="1"/>
    </xf>
    <xf numFmtId="0" fontId="10" fillId="0" borderId="0" xfId="0" applyFont="1" applyAlignment="1">
      <alignment horizontal="left"/>
    </xf>
    <xf numFmtId="174" fontId="10" fillId="0" borderId="0" xfId="0" applyNumberFormat="1" applyFont="1" applyAlignment="1">
      <alignment horizontal="left"/>
    </xf>
    <xf numFmtId="0" fontId="21" fillId="0" borderId="0" xfId="11" applyFont="1" applyAlignment="1">
      <alignment horizontal="left" vertical="center"/>
    </xf>
    <xf numFmtId="0" fontId="10" fillId="0" borderId="0" xfId="0" applyFont="1" applyAlignment="1">
      <alignment horizontal="left" vertical="center"/>
    </xf>
    <xf numFmtId="0" fontId="23" fillId="0" borderId="0" xfId="26" applyFont="1" applyAlignment="1">
      <alignment horizontal="left" vertical="top" wrapText="1"/>
    </xf>
    <xf numFmtId="0" fontId="23" fillId="0" borderId="0" xfId="26" applyFont="1" applyAlignment="1">
      <alignment vertical="top" wrapText="1"/>
    </xf>
    <xf numFmtId="0" fontId="24" fillId="0" borderId="0" xfId="26" applyFont="1"/>
    <xf numFmtId="0" fontId="25" fillId="0" borderId="0" xfId="26" applyFont="1" applyAlignment="1">
      <alignment horizontal="right"/>
    </xf>
    <xf numFmtId="49" fontId="25" fillId="0" borderId="9" xfId="26" applyNumberFormat="1" applyFont="1" applyBorder="1" applyAlignment="1">
      <alignment horizontal="center"/>
    </xf>
    <xf numFmtId="0" fontId="25" fillId="0" borderId="0" xfId="26" applyFont="1" applyAlignment="1">
      <alignment horizontal="left"/>
    </xf>
    <xf numFmtId="49" fontId="25" fillId="0" borderId="10" xfId="26" applyNumberFormat="1" applyFont="1" applyBorder="1" applyAlignment="1">
      <alignment horizontal="center"/>
    </xf>
    <xf numFmtId="49" fontId="25" fillId="0" borderId="11" xfId="26" applyNumberFormat="1" applyFont="1" applyBorder="1" applyAlignment="1">
      <alignment horizontal="center"/>
    </xf>
    <xf numFmtId="0" fontId="25" fillId="0" borderId="3" xfId="26" applyFont="1" applyBorder="1" applyAlignment="1">
      <alignment horizontal="center"/>
    </xf>
    <xf numFmtId="0" fontId="25" fillId="0" borderId="3" xfId="26" applyFont="1" applyBorder="1" applyAlignment="1">
      <alignment horizontal="center" vertical="top" wrapText="1"/>
    </xf>
    <xf numFmtId="49" fontId="25" fillId="0" borderId="3" xfId="26" applyNumberFormat="1" applyFont="1" applyBorder="1" applyAlignment="1">
      <alignment horizontal="center" vertical="top"/>
    </xf>
    <xf numFmtId="49" fontId="25" fillId="0" borderId="3" xfId="26" applyNumberFormat="1" applyFont="1" applyBorder="1" applyAlignment="1">
      <alignment horizontal="center"/>
    </xf>
    <xf numFmtId="49" fontId="25" fillId="0" borderId="3" xfId="26" applyNumberFormat="1" applyFont="1" applyBorder="1" applyAlignment="1">
      <alignment horizontal="center" vertical="top" wrapText="1"/>
    </xf>
    <xf numFmtId="0" fontId="28" fillId="0" borderId="0" xfId="26" applyFont="1"/>
    <xf numFmtId="0" fontId="23" fillId="0" borderId="0" xfId="26" applyFont="1" applyAlignment="1">
      <alignment horizontal="center" vertical="top"/>
    </xf>
    <xf numFmtId="0" fontId="25" fillId="0" borderId="15" xfId="26" applyFont="1" applyBorder="1" applyAlignment="1">
      <alignment horizontal="left"/>
    </xf>
    <xf numFmtId="0" fontId="25" fillId="0" borderId="16" xfId="26" applyFont="1" applyBorder="1" applyAlignment="1">
      <alignment horizontal="left"/>
    </xf>
    <xf numFmtId="0" fontId="29" fillId="0" borderId="17" xfId="26" applyFont="1" applyBorder="1" applyAlignment="1">
      <alignment horizontal="left"/>
    </xf>
    <xf numFmtId="0" fontId="29" fillId="0" borderId="0" xfId="26" applyFont="1"/>
    <xf numFmtId="0" fontId="29" fillId="0" borderId="18" xfId="26" applyFont="1" applyBorder="1" applyAlignment="1">
      <alignment horizontal="left"/>
    </xf>
    <xf numFmtId="0" fontId="29" fillId="0" borderId="17" xfId="26" applyFont="1" applyBorder="1" applyAlignment="1">
      <alignment horizontal="center" vertical="top"/>
    </xf>
    <xf numFmtId="0" fontId="29" fillId="0" borderId="0" xfId="26" applyFont="1" applyAlignment="1">
      <alignment horizontal="center" vertical="top"/>
    </xf>
    <xf numFmtId="0" fontId="29" fillId="0" borderId="18" xfId="26" applyFont="1" applyBorder="1" applyAlignment="1">
      <alignment horizontal="center" vertical="top"/>
    </xf>
    <xf numFmtId="0" fontId="23" fillId="0" borderId="0" xfId="26" applyFont="1"/>
    <xf numFmtId="0" fontId="29" fillId="0" borderId="0" xfId="26" applyFont="1" applyAlignment="1">
      <alignment horizontal="left"/>
    </xf>
    <xf numFmtId="0" fontId="25" fillId="0" borderId="23" xfId="26" applyFont="1" applyBorder="1" applyAlignment="1">
      <alignment horizontal="left"/>
    </xf>
    <xf numFmtId="0" fontId="25" fillId="0" borderId="24" xfId="26" applyFont="1" applyBorder="1" applyAlignment="1">
      <alignment horizontal="left"/>
    </xf>
    <xf numFmtId="0" fontId="25" fillId="0" borderId="25" xfId="26" applyFont="1" applyBorder="1" applyAlignment="1">
      <alignment horizontal="left"/>
    </xf>
    <xf numFmtId="0" fontId="10" fillId="0" borderId="0" xfId="0" applyFont="1" applyAlignment="1">
      <alignment vertical="center" wrapText="1"/>
    </xf>
    <xf numFmtId="0" fontId="10" fillId="0" borderId="0" xfId="0" applyFont="1" applyAlignment="1">
      <alignment vertical="top" wrapText="1"/>
    </xf>
    <xf numFmtId="2" fontId="10" fillId="0" borderId="3" xfId="0" applyNumberFormat="1" applyFont="1" applyBorder="1" applyAlignment="1">
      <alignment horizontal="center" vertical="center" wrapText="1"/>
    </xf>
    <xf numFmtId="0" fontId="10" fillId="0" borderId="6" xfId="0" applyFont="1" applyBorder="1" applyAlignment="1">
      <alignment vertical="center" wrapText="1"/>
    </xf>
    <xf numFmtId="0" fontId="10" fillId="0" borderId="5" xfId="0" applyFont="1" applyBorder="1" applyAlignment="1">
      <alignment vertical="top" wrapText="1"/>
    </xf>
    <xf numFmtId="0" fontId="10" fillId="0" borderId="29" xfId="0" applyFont="1" applyBorder="1" applyAlignment="1">
      <alignment vertical="center" wrapText="1"/>
    </xf>
    <xf numFmtId="0" fontId="10" fillId="0" borderId="6" xfId="0" applyFont="1" applyBorder="1" applyAlignment="1">
      <alignment vertical="top" wrapText="1"/>
    </xf>
    <xf numFmtId="0" fontId="30" fillId="0" borderId="5" xfId="0" applyFont="1" applyBorder="1" applyAlignment="1">
      <alignment vertical="center" wrapText="1"/>
    </xf>
    <xf numFmtId="0" fontId="31" fillId="0" borderId="0" xfId="0" applyFont="1" applyAlignment="1">
      <alignment vertical="center" wrapText="1"/>
    </xf>
    <xf numFmtId="0" fontId="32" fillId="0" borderId="0" xfId="0" applyFont="1" applyAlignment="1">
      <alignment horizontal="center"/>
    </xf>
    <xf numFmtId="0" fontId="10" fillId="0" borderId="0" xfId="0" applyFont="1" applyAlignment="1">
      <alignment horizontal="center" vertical="center"/>
    </xf>
    <xf numFmtId="0" fontId="30" fillId="0" borderId="0" xfId="0" applyFont="1" applyAlignment="1">
      <alignment horizontal="center" vertical="center"/>
    </xf>
    <xf numFmtId="0" fontId="33" fillId="0" borderId="0" xfId="0" applyFont="1" applyAlignment="1">
      <alignment vertical="center" wrapText="1"/>
    </xf>
    <xf numFmtId="0" fontId="31" fillId="0" borderId="0" xfId="0" applyFont="1" applyAlignment="1">
      <alignment vertical="center"/>
    </xf>
    <xf numFmtId="49" fontId="14" fillId="0" borderId="3" xfId="26" applyNumberFormat="1" applyFont="1" applyBorder="1" applyAlignment="1">
      <alignment horizontal="center" vertical="top" wrapText="1"/>
    </xf>
    <xf numFmtId="4" fontId="14" fillId="5" borderId="3" xfId="26" applyNumberFormat="1" applyFont="1" applyFill="1" applyBorder="1" applyAlignment="1">
      <alignment horizontal="right"/>
    </xf>
    <xf numFmtId="0" fontId="25" fillId="0" borderId="17" xfId="26" applyFont="1" applyBorder="1" applyAlignment="1">
      <alignment horizontal="left"/>
    </xf>
    <xf numFmtId="0" fontId="25" fillId="0" borderId="18" xfId="26" applyFont="1" applyBorder="1" applyAlignment="1">
      <alignment horizontal="left"/>
    </xf>
    <xf numFmtId="4" fontId="25" fillId="0" borderId="3" xfId="26" applyNumberFormat="1" applyFont="1" applyBorder="1" applyAlignment="1">
      <alignment horizontal="right"/>
    </xf>
    <xf numFmtId="0" fontId="0" fillId="6" borderId="0" xfId="0" applyFill="1"/>
    <xf numFmtId="0" fontId="36" fillId="5" borderId="31" xfId="0" applyFont="1" applyFill="1" applyBorder="1" applyAlignment="1">
      <alignment horizontal="center" vertical="center" wrapText="1"/>
    </xf>
    <xf numFmtId="0" fontId="37" fillId="5" borderId="31" xfId="0" applyFont="1" applyFill="1" applyBorder="1" applyAlignment="1">
      <alignment horizontal="center" vertical="center" wrapText="1"/>
    </xf>
    <xf numFmtId="49" fontId="25" fillId="0" borderId="37" xfId="26" applyNumberFormat="1" applyFont="1" applyBorder="1" applyAlignment="1">
      <alignment horizontal="center" vertical="top"/>
    </xf>
    <xf numFmtId="0" fontId="38" fillId="0" borderId="0" xfId="26" applyFont="1"/>
    <xf numFmtId="0" fontId="0" fillId="0" borderId="0" xfId="0" applyAlignment="1">
      <alignment horizontal="left"/>
    </xf>
    <xf numFmtId="0" fontId="39" fillId="0" borderId="0" xfId="0" applyFont="1" applyAlignment="1">
      <alignment vertical="center"/>
    </xf>
    <xf numFmtId="0" fontId="40" fillId="0" borderId="0" xfId="0" applyFont="1" applyAlignment="1">
      <alignment horizontal="left" vertical="center"/>
    </xf>
    <xf numFmtId="0" fontId="7" fillId="0" borderId="13" xfId="0" applyFont="1" applyBorder="1" applyAlignment="1">
      <alignment horizontal="left"/>
    </xf>
    <xf numFmtId="0" fontId="41" fillId="0" borderId="0" xfId="0" applyFont="1" applyAlignment="1">
      <alignment horizontal="center" vertical="center" wrapText="1"/>
    </xf>
    <xf numFmtId="0" fontId="41" fillId="0" borderId="3" xfId="0" applyFont="1" applyBorder="1" applyAlignment="1">
      <alignment horizontal="center" vertical="center" wrapText="1"/>
    </xf>
    <xf numFmtId="0" fontId="41" fillId="0" borderId="0" xfId="0" applyFont="1" applyAlignment="1">
      <alignment horizontal="left" vertical="center" wrapText="1"/>
    </xf>
    <xf numFmtId="0" fontId="39" fillId="0" borderId="0" xfId="0" applyFont="1" applyAlignment="1">
      <alignment horizontal="left" vertical="center"/>
    </xf>
    <xf numFmtId="0" fontId="7" fillId="0" borderId="0" xfId="0" applyFont="1" applyAlignment="1">
      <alignment horizontal="left" vertical="center"/>
    </xf>
    <xf numFmtId="49" fontId="18" fillId="0" borderId="0" xfId="0" applyNumberFormat="1" applyFont="1" applyAlignment="1">
      <alignment horizontal="center" vertical="center"/>
    </xf>
    <xf numFmtId="0" fontId="42" fillId="0" borderId="0" xfId="0" applyFont="1" applyAlignment="1">
      <alignment horizontal="justify" vertical="top" wrapText="1"/>
    </xf>
    <xf numFmtId="0" fontId="42" fillId="0" borderId="0" xfId="0" applyFont="1" applyAlignment="1">
      <alignment horizontal="center" vertical="top" wrapText="1"/>
    </xf>
    <xf numFmtId="1" fontId="42" fillId="8" borderId="0" xfId="0" applyNumberFormat="1" applyFont="1" applyFill="1" applyAlignment="1">
      <alignment horizontal="center" vertical="top" wrapText="1"/>
    </xf>
    <xf numFmtId="4" fontId="42" fillId="8" borderId="0" xfId="0" applyNumberFormat="1" applyFont="1" applyFill="1" applyAlignment="1">
      <alignment horizontal="center" vertical="top" wrapText="1"/>
    </xf>
    <xf numFmtId="0" fontId="41" fillId="0" borderId="3" xfId="0" applyFont="1" applyBorder="1" applyAlignment="1">
      <alignment vertical="top" wrapText="1"/>
    </xf>
    <xf numFmtId="0" fontId="43" fillId="0" borderId="3" xfId="0" applyFont="1" applyBorder="1" applyAlignment="1">
      <alignment horizontal="justify"/>
    </xf>
    <xf numFmtId="0" fontId="43" fillId="0" borderId="3" xfId="0" applyFont="1" applyBorder="1"/>
    <xf numFmtId="0" fontId="43" fillId="0" borderId="0" xfId="0" applyFont="1" applyAlignment="1">
      <alignment horizontal="justify"/>
    </xf>
    <xf numFmtId="0" fontId="43" fillId="0" borderId="0" xfId="0" applyFont="1" applyAlignment="1">
      <alignment wrapText="1"/>
    </xf>
    <xf numFmtId="0" fontId="43" fillId="0" borderId="0" xfId="0" applyFont="1"/>
    <xf numFmtId="175" fontId="41" fillId="7" borderId="3" xfId="0" applyNumberFormat="1" applyFont="1" applyFill="1" applyBorder="1" applyAlignment="1">
      <alignment horizontal="center" vertical="center" wrapText="1"/>
    </xf>
    <xf numFmtId="0" fontId="41" fillId="0" borderId="0" xfId="0" applyFont="1" applyAlignment="1">
      <alignment horizontal="left" vertical="center"/>
    </xf>
    <xf numFmtId="0" fontId="41" fillId="0" borderId="3" xfId="0" applyFont="1" applyBorder="1" applyAlignment="1">
      <alignment horizontal="left" vertical="center" wrapText="1"/>
    </xf>
    <xf numFmtId="175" fontId="41" fillId="0" borderId="3" xfId="0" applyNumberFormat="1" applyFont="1" applyBorder="1" applyAlignment="1">
      <alignment horizontal="center" vertical="center" wrapText="1"/>
    </xf>
    <xf numFmtId="0" fontId="41" fillId="0" borderId="0" xfId="0" applyFont="1"/>
    <xf numFmtId="0" fontId="41" fillId="0" borderId="0" xfId="0" applyFont="1" applyAlignment="1">
      <alignment vertical="center"/>
    </xf>
    <xf numFmtId="0" fontId="41" fillId="5" borderId="0" xfId="0" applyFont="1" applyFill="1"/>
    <xf numFmtId="4" fontId="41" fillId="0" borderId="0" xfId="0" applyNumberFormat="1" applyFont="1"/>
    <xf numFmtId="4" fontId="41" fillId="0" borderId="3" xfId="0" applyNumberFormat="1" applyFont="1" applyBorder="1" applyAlignment="1">
      <alignment horizontal="center" vertical="center" wrapText="1"/>
    </xf>
    <xf numFmtId="3" fontId="41" fillId="0" borderId="3" xfId="0" applyNumberFormat="1" applyFont="1" applyBorder="1" applyAlignment="1">
      <alignment horizontal="center" vertical="center" wrapText="1"/>
    </xf>
    <xf numFmtId="0" fontId="41" fillId="0" borderId="3" xfId="0" applyFont="1" applyBorder="1" applyAlignment="1">
      <alignment vertical="center" wrapText="1"/>
    </xf>
    <xf numFmtId="0" fontId="41" fillId="0" borderId="0" xfId="0" applyFont="1" applyAlignment="1">
      <alignment vertical="center" wrapText="1"/>
    </xf>
    <xf numFmtId="175" fontId="41" fillId="0" borderId="0" xfId="0" applyNumberFormat="1" applyFont="1" applyAlignment="1">
      <alignment horizontal="center" vertical="center" wrapText="1"/>
    </xf>
    <xf numFmtId="0" fontId="41" fillId="9" borderId="0" xfId="0" applyFont="1" applyFill="1"/>
    <xf numFmtId="0" fontId="41" fillId="10" borderId="0" xfId="0" applyFont="1" applyFill="1"/>
    <xf numFmtId="0" fontId="10" fillId="10" borderId="0" xfId="0" applyFont="1" applyFill="1"/>
    <xf numFmtId="0" fontId="41" fillId="0" borderId="5" xfId="0" applyFont="1" applyBorder="1" applyAlignment="1">
      <alignment horizontal="center" vertical="center" wrapText="1"/>
    </xf>
    <xf numFmtId="0" fontId="41" fillId="7" borderId="3" xfId="0" applyFont="1" applyFill="1" applyBorder="1" applyAlignment="1">
      <alignment horizontal="center" vertical="center" wrapText="1"/>
    </xf>
    <xf numFmtId="49" fontId="41" fillId="0" borderId="3" xfId="0" applyNumberFormat="1" applyFont="1" applyBorder="1" applyAlignment="1">
      <alignment horizontal="center" vertical="center" wrapText="1"/>
    </xf>
    <xf numFmtId="177" fontId="41" fillId="0" borderId="3" xfId="0" applyNumberFormat="1" applyFont="1" applyBorder="1" applyAlignment="1">
      <alignment horizontal="center" vertical="center" wrapText="1"/>
    </xf>
    <xf numFmtId="0" fontId="43" fillId="0" borderId="3" xfId="0" applyFont="1" applyBorder="1" applyAlignment="1">
      <alignment horizontal="center" vertical="center" wrapText="1"/>
    </xf>
    <xf numFmtId="0" fontId="43" fillId="0" borderId="0" xfId="0" applyFont="1" applyAlignment="1">
      <alignment horizontal="center" vertical="center" wrapText="1"/>
    </xf>
    <xf numFmtId="177" fontId="41" fillId="0" borderId="0" xfId="0" applyNumberFormat="1" applyFont="1" applyAlignment="1">
      <alignment horizontal="center" vertical="center" wrapText="1"/>
    </xf>
    <xf numFmtId="49" fontId="43" fillId="0" borderId="5" xfId="0" applyNumberFormat="1" applyFont="1" applyBorder="1" applyAlignment="1">
      <alignment horizontal="center" vertical="center" wrapText="1"/>
    </xf>
    <xf numFmtId="0" fontId="43" fillId="0" borderId="5" xfId="0" applyFont="1" applyBorder="1" applyAlignment="1">
      <alignment vertical="center" wrapText="1"/>
    </xf>
    <xf numFmtId="0" fontId="43" fillId="0" borderId="0" xfId="0" applyFont="1" applyAlignment="1">
      <alignment vertical="center"/>
    </xf>
    <xf numFmtId="175" fontId="41" fillId="0" borderId="3" xfId="0" applyNumberFormat="1" applyFont="1" applyBorder="1" applyAlignment="1">
      <alignment vertical="center" wrapText="1"/>
    </xf>
    <xf numFmtId="0" fontId="41" fillId="0" borderId="3" xfId="0" applyFont="1" applyBorder="1"/>
    <xf numFmtId="0" fontId="41" fillId="0" borderId="3" xfId="0" applyFont="1" applyBorder="1" applyAlignment="1">
      <alignment horizontal="center"/>
    </xf>
    <xf numFmtId="177" fontId="41" fillId="0" borderId="3" xfId="0" applyNumberFormat="1" applyFont="1" applyBorder="1" applyAlignment="1">
      <alignment horizontal="center"/>
    </xf>
    <xf numFmtId="175" fontId="41" fillId="0" borderId="3" xfId="0" applyNumberFormat="1" applyFont="1" applyBorder="1"/>
    <xf numFmtId="4" fontId="41" fillId="0" borderId="3" xfId="0" applyNumberFormat="1" applyFont="1" applyBorder="1" applyAlignment="1">
      <alignment horizontal="center"/>
    </xf>
    <xf numFmtId="175" fontId="41" fillId="0" borderId="3" xfId="0" applyNumberFormat="1" applyFont="1" applyBorder="1" applyAlignment="1">
      <alignment horizontal="center"/>
    </xf>
    <xf numFmtId="0" fontId="46" fillId="0" borderId="0" xfId="0" applyFont="1"/>
    <xf numFmtId="0" fontId="46" fillId="5" borderId="0" xfId="0" applyFont="1" applyFill="1"/>
    <xf numFmtId="1" fontId="41" fillId="0" borderId="3" xfId="0" applyNumberFormat="1" applyFont="1" applyBorder="1" applyAlignment="1">
      <alignment horizontal="center" vertical="center" wrapText="1"/>
    </xf>
    <xf numFmtId="0" fontId="46" fillId="9" borderId="0" xfId="0" applyFont="1" applyFill="1"/>
    <xf numFmtId="174" fontId="41" fillId="0" borderId="3" xfId="0" applyNumberFormat="1" applyFont="1" applyBorder="1" applyAlignment="1">
      <alignment horizontal="center" vertical="center" wrapText="1"/>
    </xf>
    <xf numFmtId="0" fontId="46" fillId="10" borderId="0" xfId="0" applyFont="1" applyFill="1"/>
    <xf numFmtId="0" fontId="41" fillId="0" borderId="3" xfId="0" applyFont="1" applyBorder="1" applyAlignment="1">
      <alignment horizontal="right" vertical="center" wrapText="1"/>
    </xf>
    <xf numFmtId="0" fontId="10" fillId="5" borderId="0" xfId="0" applyFont="1" applyFill="1"/>
    <xf numFmtId="0" fontId="10" fillId="9" borderId="0" xfId="0" applyFont="1" applyFill="1"/>
    <xf numFmtId="0" fontId="10" fillId="0" borderId="0" xfId="0" applyFont="1" applyAlignment="1">
      <alignment vertical="center"/>
    </xf>
    <xf numFmtId="0" fontId="10" fillId="0" borderId="3" xfId="0" applyFont="1" applyBorder="1" applyAlignment="1">
      <alignment vertical="center"/>
    </xf>
    <xf numFmtId="2" fontId="41" fillId="0" borderId="3" xfId="0" applyNumberFormat="1" applyFont="1" applyBorder="1" applyAlignment="1">
      <alignment horizontal="center" vertical="center" wrapText="1"/>
    </xf>
    <xf numFmtId="175" fontId="41" fillId="0" borderId="0" xfId="0" applyNumberFormat="1" applyFont="1" applyAlignment="1">
      <alignment horizontal="center" vertical="center" wrapText="1"/>
    </xf>
    <xf numFmtId="0" fontId="10" fillId="0" borderId="0" xfId="0" applyFont="1"/>
    <xf numFmtId="0" fontId="0" fillId="0" borderId="0" xfId="0"/>
    <xf numFmtId="0" fontId="45" fillId="0" borderId="3" xfId="0" applyFont="1" applyBorder="1" applyAlignment="1">
      <alignment horizontal="center" vertical="center" wrapText="1"/>
    </xf>
    <xf numFmtId="175" fontId="43" fillId="0" borderId="3" xfId="0" applyNumberFormat="1" applyFont="1" applyBorder="1" applyAlignment="1">
      <alignment horizontal="center" vertical="center" wrapText="1"/>
    </xf>
    <xf numFmtId="175" fontId="46" fillId="0" borderId="0" xfId="0" applyNumberFormat="1" applyFont="1"/>
    <xf numFmtId="175" fontId="41" fillId="0" borderId="0" xfId="0" applyNumberFormat="1" applyFont="1" applyAlignment="1">
      <alignment vertical="center" wrapText="1"/>
    </xf>
    <xf numFmtId="4" fontId="46" fillId="0" borderId="0" xfId="0" applyNumberFormat="1" applyFont="1"/>
    <xf numFmtId="0" fontId="10" fillId="0" borderId="3" xfId="0" applyFont="1" applyBorder="1" applyAlignment="1">
      <alignment horizontal="center" vertical="center"/>
    </xf>
    <xf numFmtId="0" fontId="10" fillId="0" borderId="3" xfId="0" applyFont="1" applyBorder="1" applyAlignment="1">
      <alignment horizontal="right"/>
    </xf>
    <xf numFmtId="2" fontId="10" fillId="0" borderId="3" xfId="0" applyNumberFormat="1" applyFont="1" applyBorder="1" applyAlignment="1">
      <alignment horizontal="center"/>
    </xf>
    <xf numFmtId="175" fontId="41" fillId="0" borderId="0" xfId="0" applyNumberFormat="1" applyFont="1"/>
    <xf numFmtId="0" fontId="10" fillId="0" borderId="0" xfId="0" applyFont="1" applyAlignment="1">
      <alignment horizontal="right"/>
    </xf>
    <xf numFmtId="175" fontId="10" fillId="0" borderId="0" xfId="0" applyNumberFormat="1" applyFont="1"/>
    <xf numFmtId="175" fontId="10" fillId="0" borderId="0" xfId="0" applyNumberFormat="1" applyFont="1" applyAlignment="1">
      <alignment horizontal="center"/>
    </xf>
    <xf numFmtId="0" fontId="41" fillId="0" borderId="3" xfId="0" applyFont="1" applyBorder="1" applyAlignment="1">
      <alignment horizontal="center" wrapText="1"/>
    </xf>
    <xf numFmtId="174" fontId="41" fillId="0" borderId="3" xfId="0" applyNumberFormat="1" applyFont="1" applyBorder="1" applyAlignment="1">
      <alignment horizontal="center" wrapText="1"/>
    </xf>
    <xf numFmtId="2" fontId="10" fillId="0" borderId="0" xfId="0" applyNumberFormat="1" applyFont="1"/>
    <xf numFmtId="175" fontId="10" fillId="0" borderId="3" xfId="0" applyNumberFormat="1" applyFont="1" applyBorder="1" applyAlignment="1">
      <alignment horizontal="center" vertical="center"/>
    </xf>
    <xf numFmtId="0" fontId="10" fillId="0" borderId="3" xfId="0" applyFont="1" applyBorder="1"/>
    <xf numFmtId="175" fontId="10" fillId="0" borderId="3" xfId="0" applyNumberFormat="1" applyFont="1" applyBorder="1"/>
    <xf numFmtId="4" fontId="10" fillId="0" borderId="3" xfId="0" applyNumberFormat="1" applyFont="1" applyBorder="1" applyAlignment="1">
      <alignment horizontal="center"/>
    </xf>
    <xf numFmtId="4" fontId="10" fillId="0" borderId="0" xfId="0" applyNumberFormat="1" applyFont="1" applyAlignment="1">
      <alignment horizontal="center"/>
    </xf>
    <xf numFmtId="175" fontId="10" fillId="0" borderId="3" xfId="0" applyNumberFormat="1" applyFont="1" applyBorder="1" applyAlignment="1">
      <alignment horizontal="center"/>
    </xf>
    <xf numFmtId="177" fontId="41" fillId="0" borderId="0" xfId="0" applyNumberFormat="1" applyFont="1" applyAlignment="1">
      <alignment horizontal="center"/>
    </xf>
    <xf numFmtId="174" fontId="41" fillId="0" borderId="0" xfId="0" applyNumberFormat="1" applyFont="1" applyAlignment="1">
      <alignment horizontal="center" wrapText="1"/>
    </xf>
    <xf numFmtId="177" fontId="10" fillId="0" borderId="3" xfId="0" applyNumberFormat="1" applyFont="1" applyBorder="1" applyAlignment="1">
      <alignment horizontal="center"/>
    </xf>
    <xf numFmtId="0" fontId="10" fillId="11" borderId="0" xfId="0" applyFont="1" applyFill="1"/>
    <xf numFmtId="177" fontId="10" fillId="0" borderId="0" xfId="0" applyNumberFormat="1" applyFont="1" applyAlignment="1">
      <alignment horizontal="center"/>
    </xf>
    <xf numFmtId="2" fontId="41" fillId="0" borderId="3" xfId="0" applyNumberFormat="1" applyFont="1" applyBorder="1" applyAlignment="1">
      <alignment horizontal="center" wrapText="1"/>
    </xf>
    <xf numFmtId="0" fontId="33" fillId="0" borderId="0" xfId="0" applyFont="1"/>
    <xf numFmtId="0" fontId="10" fillId="12" borderId="3" xfId="0" applyFont="1" applyFill="1" applyBorder="1" applyAlignment="1">
      <alignment horizontal="center"/>
    </xf>
    <xf numFmtId="0" fontId="10" fillId="12" borderId="0" xfId="0" applyFont="1" applyFill="1"/>
    <xf numFmtId="0" fontId="33" fillId="12" borderId="0" xfId="0" applyFont="1" applyFill="1"/>
    <xf numFmtId="175" fontId="10" fillId="13" borderId="3" xfId="0" applyNumberFormat="1" applyFont="1" applyFill="1" applyBorder="1" applyAlignment="1">
      <alignment horizontal="center"/>
    </xf>
    <xf numFmtId="175" fontId="10" fillId="12" borderId="3" xfId="0" applyNumberFormat="1" applyFont="1" applyFill="1" applyBorder="1" applyAlignment="1">
      <alignment horizontal="center"/>
    </xf>
    <xf numFmtId="4" fontId="10" fillId="7" borderId="3" xfId="0" applyNumberFormat="1" applyFont="1" applyFill="1" applyBorder="1" applyAlignment="1">
      <alignment horizontal="center"/>
    </xf>
    <xf numFmtId="4" fontId="10" fillId="12" borderId="3" xfId="0" applyNumberFormat="1" applyFont="1" applyFill="1" applyBorder="1" applyAlignment="1">
      <alignment horizontal="center"/>
    </xf>
    <xf numFmtId="4" fontId="33" fillId="0" borderId="0" xfId="0" applyNumberFormat="1" applyFont="1"/>
    <xf numFmtId="0" fontId="41" fillId="0" borderId="3" xfId="0" applyFont="1" applyBorder="1" applyAlignment="1">
      <alignment horizontal="center" vertical="center" wrapText="1"/>
    </xf>
    <xf numFmtId="175" fontId="41" fillId="0" borderId="3" xfId="0" applyNumberFormat="1" applyFont="1" applyBorder="1" applyAlignment="1">
      <alignment horizontal="center" vertical="center" wrapText="1"/>
    </xf>
    <xf numFmtId="0" fontId="10" fillId="4" borderId="0" xfId="0" applyFont="1" applyFill="1" applyBorder="1"/>
    <xf numFmtId="175" fontId="10" fillId="0" borderId="0" xfId="0" applyNumberFormat="1" applyFont="1" applyBorder="1" applyAlignment="1">
      <alignment horizontal="center" vertical="center" wrapText="1"/>
    </xf>
    <xf numFmtId="4" fontId="10" fillId="9" borderId="0" xfId="0" applyNumberFormat="1" applyFont="1" applyFill="1"/>
    <xf numFmtId="49" fontId="18" fillId="0" borderId="3" xfId="0" applyNumberFormat="1" applyFont="1" applyFill="1" applyBorder="1" applyAlignment="1">
      <alignment horizontal="center" vertical="center"/>
    </xf>
    <xf numFmtId="0" fontId="0" fillId="0" borderId="0" xfId="0" applyFill="1" applyAlignment="1">
      <alignment horizontal="left"/>
    </xf>
    <xf numFmtId="4" fontId="0" fillId="0" borderId="0" xfId="0" applyNumberFormat="1" applyFill="1" applyAlignment="1">
      <alignment horizontal="left"/>
    </xf>
    <xf numFmtId="0" fontId="42" fillId="0" borderId="3" xfId="0" applyFont="1" applyFill="1" applyBorder="1" applyAlignment="1">
      <alignment horizontal="center" vertical="top" wrapText="1"/>
    </xf>
    <xf numFmtId="2" fontId="0" fillId="0" borderId="0" xfId="0" applyNumberFormat="1" applyFill="1" applyAlignment="1">
      <alignment horizontal="left"/>
    </xf>
    <xf numFmtId="4" fontId="42" fillId="0" borderId="3" xfId="0" applyNumberFormat="1" applyFont="1" applyFill="1" applyBorder="1" applyAlignment="1">
      <alignment horizontal="center" vertical="top" wrapText="1"/>
    </xf>
    <xf numFmtId="0" fontId="42" fillId="0" borderId="3" xfId="0" applyFont="1" applyFill="1" applyBorder="1" applyAlignment="1">
      <alignment horizontal="left" vertical="top" wrapText="1"/>
    </xf>
    <xf numFmtId="3" fontId="42" fillId="0" borderId="3" xfId="0" applyNumberFormat="1" applyFont="1" applyFill="1" applyBorder="1" applyAlignment="1">
      <alignment horizontal="center" vertical="top" wrapText="1"/>
    </xf>
    <xf numFmtId="3" fontId="42" fillId="0" borderId="4" xfId="0" applyNumberFormat="1" applyFont="1" applyFill="1" applyBorder="1" applyAlignment="1">
      <alignment horizontal="center" vertical="top" wrapText="1"/>
    </xf>
    <xf numFmtId="49" fontId="18" fillId="0" borderId="3" xfId="0" applyNumberFormat="1" applyFont="1" applyFill="1" applyBorder="1" applyAlignment="1">
      <alignment horizontal="center" vertical="top"/>
    </xf>
    <xf numFmtId="1" fontId="42" fillId="0" borderId="3" xfId="0" applyNumberFormat="1" applyFont="1" applyFill="1" applyBorder="1" applyAlignment="1">
      <alignment horizontal="center" vertical="top" wrapText="1"/>
    </xf>
    <xf numFmtId="1" fontId="42" fillId="0" borderId="5" xfId="0" applyNumberFormat="1" applyFont="1" applyFill="1" applyBorder="1" applyAlignment="1">
      <alignment horizontal="center" vertical="top" wrapText="1"/>
    </xf>
    <xf numFmtId="4" fontId="42" fillId="0" borderId="5" xfId="0" applyNumberFormat="1" applyFont="1" applyFill="1" applyBorder="1" applyAlignment="1">
      <alignment horizontal="center" vertical="top" wrapText="1"/>
    </xf>
    <xf numFmtId="0" fontId="10" fillId="0" borderId="0" xfId="0" applyFont="1" applyFill="1" applyAlignment="1">
      <alignment horizontal="left" vertical="center" wrapText="1"/>
    </xf>
    <xf numFmtId="0" fontId="43" fillId="0" borderId="3" xfId="0" applyFont="1" applyFill="1" applyBorder="1" applyAlignment="1">
      <alignment horizontal="justify"/>
    </xf>
    <xf numFmtId="0" fontId="43" fillId="0" borderId="3" xfId="0" applyFont="1" applyFill="1" applyBorder="1" applyAlignment="1">
      <alignment wrapText="1"/>
    </xf>
    <xf numFmtId="0" fontId="42" fillId="0" borderId="3" xfId="0" applyFont="1" applyFill="1" applyBorder="1" applyAlignment="1">
      <alignment horizontal="left" vertical="center" wrapText="1"/>
    </xf>
    <xf numFmtId="4" fontId="42" fillId="0" borderId="4" xfId="0" applyNumberFormat="1" applyFont="1" applyFill="1" applyBorder="1" applyAlignment="1">
      <alignment horizontal="center" vertical="top" wrapText="1"/>
    </xf>
    <xf numFmtId="0" fontId="43" fillId="0" borderId="3" xfId="0" applyFont="1" applyFill="1" applyBorder="1" applyAlignment="1">
      <alignment vertical="center" wrapText="1"/>
    </xf>
    <xf numFmtId="4" fontId="42" fillId="0" borderId="5" xfId="0" applyNumberFormat="1" applyFont="1" applyFill="1" applyBorder="1" applyAlignment="1">
      <alignment horizontal="center" vertical="center" wrapText="1"/>
    </xf>
    <xf numFmtId="0" fontId="41" fillId="0" borderId="3" xfId="0" applyFont="1" applyBorder="1" applyAlignment="1">
      <alignment horizontal="center" vertical="center" wrapText="1"/>
    </xf>
    <xf numFmtId="0" fontId="41" fillId="0" borderId="3" xfId="0" applyFont="1" applyBorder="1" applyAlignment="1">
      <alignment vertical="center" wrapText="1"/>
    </xf>
    <xf numFmtId="0" fontId="51" fillId="0" borderId="0" xfId="26" applyFont="1"/>
    <xf numFmtId="0" fontId="49" fillId="0" borderId="3" xfId="0" applyFont="1" applyBorder="1" applyAlignment="1">
      <alignment vertical="center" wrapText="1"/>
    </xf>
    <xf numFmtId="0" fontId="49" fillId="0" borderId="3" xfId="0" applyFont="1" applyBorder="1" applyAlignment="1">
      <alignment horizontal="center" vertical="center" wrapText="1"/>
    </xf>
    <xf numFmtId="175" fontId="49" fillId="0" borderId="3" xfId="0" applyNumberFormat="1" applyFont="1" applyBorder="1" applyAlignment="1">
      <alignment horizontal="center" vertical="center" wrapText="1"/>
    </xf>
    <xf numFmtId="0" fontId="55" fillId="0" borderId="3" xfId="0" applyFont="1" applyBorder="1" applyAlignment="1">
      <alignment horizontal="center" vertical="center" wrapText="1"/>
    </xf>
    <xf numFmtId="174" fontId="49" fillId="0" borderId="3" xfId="0" applyNumberFormat="1" applyFont="1" applyBorder="1" applyAlignment="1">
      <alignment horizontal="center" vertical="center" wrapText="1"/>
    </xf>
    <xf numFmtId="174" fontId="55" fillId="0" borderId="3" xfId="0" applyNumberFormat="1" applyFont="1" applyBorder="1" applyAlignment="1">
      <alignment horizontal="center" vertical="center" wrapText="1"/>
    </xf>
    <xf numFmtId="0" fontId="10" fillId="15" borderId="3" xfId="0" applyFont="1" applyFill="1" applyBorder="1" applyAlignment="1">
      <alignment vertical="center" wrapText="1"/>
    </xf>
    <xf numFmtId="0" fontId="10" fillId="15" borderId="3" xfId="0" applyFont="1" applyFill="1" applyBorder="1" applyAlignment="1">
      <alignment horizontal="center" vertical="center" wrapText="1"/>
    </xf>
    <xf numFmtId="175" fontId="10" fillId="15" borderId="3" xfId="0" applyNumberFormat="1" applyFont="1" applyFill="1" applyBorder="1" applyAlignment="1">
      <alignment horizontal="center" vertical="center" wrapText="1"/>
    </xf>
    <xf numFmtId="175" fontId="11" fillId="15" borderId="3" xfId="0" applyNumberFormat="1" applyFont="1" applyFill="1" applyBorder="1" applyAlignment="1">
      <alignment horizontal="center" vertical="center" wrapText="1"/>
    </xf>
    <xf numFmtId="174" fontId="10" fillId="15" borderId="3" xfId="0" applyNumberFormat="1" applyFont="1" applyFill="1" applyBorder="1" applyAlignment="1">
      <alignment horizontal="center" vertical="center" wrapText="1"/>
    </xf>
    <xf numFmtId="0" fontId="10" fillId="15" borderId="0" xfId="0" applyFont="1" applyFill="1"/>
    <xf numFmtId="0" fontId="9" fillId="0" borderId="0" xfId="0" applyFont="1" applyBorder="1"/>
    <xf numFmtId="49" fontId="25" fillId="0" borderId="13" xfId="26" applyNumberFormat="1" applyFont="1" applyBorder="1" applyAlignment="1">
      <alignment horizontal="center" vertical="top"/>
    </xf>
    <xf numFmtId="49" fontId="25" fillId="0" borderId="14" xfId="26" applyNumberFormat="1" applyFont="1" applyBorder="1" applyAlignment="1">
      <alignment horizontal="center" vertical="top"/>
    </xf>
    <xf numFmtId="49" fontId="25" fillId="0" borderId="0" xfId="26" applyNumberFormat="1" applyFont="1" applyBorder="1" applyAlignment="1">
      <alignment horizontal="center" vertical="top"/>
    </xf>
    <xf numFmtId="49" fontId="25" fillId="0" borderId="28" xfId="26" applyNumberFormat="1" applyFont="1" applyBorder="1" applyAlignment="1">
      <alignment horizontal="center" vertical="top"/>
    </xf>
    <xf numFmtId="49" fontId="25" fillId="0" borderId="29" xfId="26" applyNumberFormat="1" applyFont="1" applyBorder="1" applyAlignment="1">
      <alignment horizontal="center" vertical="top"/>
    </xf>
    <xf numFmtId="0" fontId="7" fillId="0" borderId="0" xfId="0" applyFont="1" applyAlignment="1">
      <alignment vertical="top" wrapText="1"/>
    </xf>
    <xf numFmtId="0" fontId="7" fillId="0" borderId="0" xfId="0" applyFont="1" applyBorder="1" applyAlignment="1">
      <alignment vertical="top"/>
    </xf>
    <xf numFmtId="0" fontId="7" fillId="0" borderId="0" xfId="0" applyFont="1" applyAlignment="1">
      <alignment horizontal="justify" vertical="top" wrapText="1"/>
    </xf>
    <xf numFmtId="174" fontId="7" fillId="0" borderId="0" xfId="0" applyNumberFormat="1" applyFont="1" applyAlignment="1">
      <alignment horizontal="justify" vertical="top" wrapText="1"/>
    </xf>
    <xf numFmtId="174" fontId="7" fillId="0" borderId="3" xfId="0" applyNumberFormat="1" applyFont="1" applyBorder="1" applyAlignment="1">
      <alignment horizontal="center" vertical="top" wrapText="1"/>
    </xf>
    <xf numFmtId="174" fontId="58" fillId="0" borderId="3" xfId="0" applyNumberFormat="1" applyFont="1" applyBorder="1" applyAlignment="1">
      <alignment horizontal="center" vertical="top" wrapText="1"/>
    </xf>
    <xf numFmtId="0" fontId="58" fillId="0" borderId="3" xfId="0" applyFont="1" applyBorder="1" applyAlignment="1">
      <alignment horizontal="left" vertical="top" wrapText="1"/>
    </xf>
    <xf numFmtId="174" fontId="7" fillId="0" borderId="5" xfId="0" applyNumberFormat="1" applyFont="1" applyBorder="1" applyAlignment="1">
      <alignment horizontal="center" vertical="top" wrapText="1"/>
    </xf>
    <xf numFmtId="0" fontId="7" fillId="0" borderId="0" xfId="0" applyFont="1" applyBorder="1" applyAlignment="1">
      <alignment horizontal="center" vertical="top" wrapText="1"/>
    </xf>
    <xf numFmtId="0" fontId="10" fillId="15" borderId="3" xfId="0" applyFont="1" applyFill="1" applyBorder="1" applyAlignment="1">
      <alignment horizontal="left" vertical="center" wrapText="1"/>
    </xf>
    <xf numFmtId="0" fontId="11" fillId="15" borderId="3" xfId="0" applyFont="1" applyFill="1" applyBorder="1" applyAlignment="1">
      <alignment horizontal="center" vertical="center" wrapText="1"/>
    </xf>
    <xf numFmtId="0" fontId="10" fillId="15" borderId="3" xfId="0" applyFont="1" applyFill="1" applyBorder="1" applyAlignment="1">
      <alignment horizontal="center"/>
    </xf>
    <xf numFmtId="0" fontId="10" fillId="15" borderId="0" xfId="0" applyFont="1" applyFill="1" applyBorder="1"/>
    <xf numFmtId="174" fontId="10" fillId="15" borderId="3" xfId="0" applyNumberFormat="1" applyFont="1" applyFill="1" applyBorder="1" applyAlignment="1">
      <alignment horizontal="center"/>
    </xf>
    <xf numFmtId="174" fontId="11" fillId="0" borderId="5" xfId="0" applyNumberFormat="1" applyFont="1" applyBorder="1" applyAlignment="1">
      <alignment horizontal="center" vertical="center" wrapText="1"/>
    </xf>
    <xf numFmtId="174" fontId="10" fillId="0" borderId="3" xfId="0" applyNumberFormat="1" applyFont="1" applyBorder="1" applyAlignment="1">
      <alignment vertical="center" wrapText="1"/>
    </xf>
    <xf numFmtId="49" fontId="10" fillId="0" borderId="6" xfId="0" applyNumberFormat="1" applyFont="1" applyBorder="1" applyAlignment="1">
      <alignment horizontal="center" vertical="center" wrapText="1"/>
    </xf>
    <xf numFmtId="174" fontId="10" fillId="0" borderId="6" xfId="0" applyNumberFormat="1" applyFont="1" applyBorder="1" applyAlignment="1">
      <alignment horizontal="center" vertical="center" wrapText="1"/>
    </xf>
    <xf numFmtId="0" fontId="11" fillId="0" borderId="5" xfId="0" applyFont="1" applyBorder="1" applyAlignment="1">
      <alignment horizontal="center" vertical="center" wrapText="1"/>
    </xf>
    <xf numFmtId="49" fontId="14" fillId="0" borderId="13"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5" fillId="0" borderId="13" xfId="26" applyNumberFormat="1" applyFont="1" applyFill="1" applyBorder="1" applyAlignment="1">
      <alignment horizontal="center" vertical="top" wrapText="1"/>
    </xf>
    <xf numFmtId="0" fontId="59" fillId="0" borderId="0" xfId="26" applyFont="1"/>
    <xf numFmtId="0" fontId="60" fillId="0" borderId="0" xfId="26" applyFont="1"/>
    <xf numFmtId="0" fontId="18" fillId="12" borderId="3" xfId="0" applyFont="1" applyFill="1" applyBorder="1" applyAlignment="1">
      <alignment vertical="center" wrapText="1"/>
    </xf>
    <xf numFmtId="0" fontId="18" fillId="12" borderId="3" xfId="0" applyFont="1" applyFill="1" applyBorder="1" applyAlignment="1">
      <alignment horizontal="center" vertical="center" wrapText="1"/>
    </xf>
    <xf numFmtId="175" fontId="18" fillId="12" borderId="3" xfId="0" applyNumberFormat="1" applyFont="1" applyFill="1" applyBorder="1" applyAlignment="1">
      <alignment horizontal="center" vertical="center" wrapText="1"/>
    </xf>
    <xf numFmtId="0" fontId="20" fillId="12" borderId="3" xfId="0" applyFont="1" applyFill="1" applyBorder="1" applyAlignment="1">
      <alignment horizontal="center" vertical="center" wrapText="1"/>
    </xf>
    <xf numFmtId="4" fontId="18" fillId="12" borderId="3" xfId="0" applyNumberFormat="1" applyFont="1" applyFill="1" applyBorder="1" applyAlignment="1">
      <alignment horizontal="center" vertical="center" wrapText="1"/>
    </xf>
    <xf numFmtId="4" fontId="20" fillId="12" borderId="3" xfId="0" applyNumberFormat="1" applyFont="1" applyFill="1" applyBorder="1" applyAlignment="1">
      <alignment horizontal="center" vertical="center" wrapText="1"/>
    </xf>
    <xf numFmtId="174" fontId="18" fillId="12" borderId="3" xfId="0" applyNumberFormat="1" applyFont="1" applyFill="1" applyBorder="1" applyAlignment="1">
      <alignment horizontal="center" vertical="center" wrapText="1"/>
    </xf>
    <xf numFmtId="0" fontId="19" fillId="12" borderId="0" xfId="0" applyFont="1" applyFill="1"/>
    <xf numFmtId="0" fontId="10" fillId="12" borderId="3" xfId="0" applyFont="1" applyFill="1" applyBorder="1" applyAlignment="1">
      <alignment vertical="center" wrapText="1"/>
    </xf>
    <xf numFmtId="0" fontId="10" fillId="12" borderId="3" xfId="0" applyFont="1" applyFill="1" applyBorder="1" applyAlignment="1">
      <alignment horizontal="center" vertical="center" wrapText="1"/>
    </xf>
    <xf numFmtId="4" fontId="10" fillId="12" borderId="3" xfId="0" applyNumberFormat="1" applyFont="1" applyFill="1" applyBorder="1" applyAlignment="1">
      <alignment horizontal="center" vertical="center" wrapText="1"/>
    </xf>
    <xf numFmtId="4" fontId="11" fillId="12" borderId="3" xfId="0" applyNumberFormat="1" applyFont="1" applyFill="1" applyBorder="1" applyAlignment="1">
      <alignment horizontal="center" vertical="center" wrapText="1"/>
    </xf>
    <xf numFmtId="0" fontId="11" fillId="12" borderId="3" xfId="0" applyFont="1" applyFill="1" applyBorder="1" applyAlignment="1">
      <alignment horizontal="center" vertical="center" wrapText="1"/>
    </xf>
    <xf numFmtId="174" fontId="10" fillId="12" borderId="3" xfId="0" applyNumberFormat="1" applyFont="1" applyFill="1" applyBorder="1" applyAlignment="1">
      <alignment horizontal="center" vertical="center" wrapText="1"/>
    </xf>
    <xf numFmtId="0" fontId="5" fillId="12" borderId="0" xfId="26" applyFont="1" applyFill="1"/>
    <xf numFmtId="0" fontId="10" fillId="12" borderId="3" xfId="0" applyFont="1" applyFill="1" applyBorder="1" applyAlignment="1">
      <alignment horizontal="left" vertical="center" wrapText="1"/>
    </xf>
    <xf numFmtId="175" fontId="10" fillId="12" borderId="3" xfId="0" applyNumberFormat="1" applyFont="1" applyFill="1" applyBorder="1" applyAlignment="1">
      <alignment horizontal="center" vertical="center" wrapText="1"/>
    </xf>
    <xf numFmtId="175" fontId="11" fillId="12" borderId="3" xfId="0" applyNumberFormat="1" applyFont="1" applyFill="1" applyBorder="1" applyAlignment="1">
      <alignment horizontal="center" vertical="center" wrapText="1"/>
    </xf>
    <xf numFmtId="0" fontId="61" fillId="0" borderId="0" xfId="26" applyFont="1"/>
    <xf numFmtId="0" fontId="57" fillId="0" borderId="0" xfId="26" applyFont="1"/>
    <xf numFmtId="0" fontId="60" fillId="0" borderId="0" xfId="26" applyFont="1" applyFill="1"/>
    <xf numFmtId="0" fontId="51" fillId="0" borderId="0" xfId="26" applyFont="1" applyFill="1"/>
    <xf numFmtId="0" fontId="52" fillId="0" borderId="0" xfId="26" applyFont="1" applyFill="1" applyAlignment="1">
      <alignment horizontal="left"/>
    </xf>
    <xf numFmtId="0" fontId="41" fillId="15" borderId="3" xfId="0" applyFont="1" applyFill="1" applyBorder="1" applyAlignment="1">
      <alignment horizontal="center" vertical="center" wrapText="1"/>
    </xf>
    <xf numFmtId="0" fontId="54" fillId="0" borderId="0" xfId="26" applyFont="1" applyFill="1"/>
    <xf numFmtId="0" fontId="5" fillId="0" borderId="0" xfId="26" applyFont="1" applyFill="1"/>
    <xf numFmtId="0" fontId="41" fillId="0" borderId="3" xfId="0" applyFont="1" applyBorder="1" applyAlignment="1">
      <alignment horizontal="center" vertical="top" wrapText="1"/>
    </xf>
    <xf numFmtId="0" fontId="41" fillId="0" borderId="3"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3" xfId="0" applyFont="1" applyBorder="1" applyAlignment="1">
      <alignment vertical="center" wrapText="1"/>
    </xf>
    <xf numFmtId="0" fontId="41" fillId="15" borderId="3" xfId="0" applyFont="1" applyFill="1" applyBorder="1" applyAlignment="1">
      <alignment vertical="center" wrapText="1"/>
    </xf>
    <xf numFmtId="175" fontId="41" fillId="15" borderId="3" xfId="0" applyNumberFormat="1" applyFont="1" applyFill="1" applyBorder="1" applyAlignment="1">
      <alignment horizontal="center" vertical="center" wrapText="1"/>
    </xf>
    <xf numFmtId="0" fontId="41" fillId="0" borderId="3" xfId="0" applyFont="1" applyFill="1" applyBorder="1" applyAlignment="1">
      <alignment horizontal="center" vertical="center" wrapText="1"/>
    </xf>
    <xf numFmtId="2" fontId="41" fillId="0" borderId="3" xfId="0" applyNumberFormat="1" applyFont="1" applyFill="1" applyBorder="1" applyAlignment="1">
      <alignment horizontal="center" vertical="center" wrapText="1"/>
    </xf>
    <xf numFmtId="0" fontId="10" fillId="0" borderId="0" xfId="0" applyFont="1" applyFill="1"/>
    <xf numFmtId="0" fontId="10" fillId="0" borderId="3" xfId="0" applyFont="1" applyFill="1" applyBorder="1" applyAlignment="1">
      <alignment horizontal="center" vertical="center"/>
    </xf>
    <xf numFmtId="175" fontId="10" fillId="0" borderId="3" xfId="0" applyNumberFormat="1" applyFont="1" applyFill="1" applyBorder="1" applyAlignment="1">
      <alignment horizontal="center" vertical="center"/>
    </xf>
    <xf numFmtId="174" fontId="10" fillId="0" borderId="3" xfId="0" applyNumberFormat="1" applyFont="1" applyBorder="1" applyAlignment="1">
      <alignment horizontal="center"/>
    </xf>
    <xf numFmtId="174" fontId="46" fillId="0" borderId="0" xfId="0" applyNumberFormat="1" applyFont="1"/>
    <xf numFmtId="174" fontId="41" fillId="9" borderId="0" xfId="0" applyNumberFormat="1" applyFont="1" applyFill="1"/>
    <xf numFmtId="4" fontId="0" fillId="0" borderId="0" xfId="0" applyNumberFormat="1" applyAlignment="1">
      <alignment horizontal="left"/>
    </xf>
    <xf numFmtId="0" fontId="41" fillId="0" borderId="3"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0" xfId="0" applyFont="1" applyBorder="1" applyAlignment="1">
      <alignment vertical="center" wrapText="1"/>
    </xf>
    <xf numFmtId="0" fontId="43" fillId="0" borderId="0"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3" xfId="0" applyFont="1" applyBorder="1" applyAlignment="1">
      <alignment horizontal="center" vertical="top" wrapText="1"/>
    </xf>
    <xf numFmtId="0" fontId="41" fillId="0" borderId="3" xfId="0" applyFont="1" applyBorder="1" applyAlignment="1">
      <alignment horizontal="center" vertical="center" wrapText="1"/>
    </xf>
    <xf numFmtId="175" fontId="41" fillId="0" borderId="3" xfId="0" applyNumberFormat="1" applyFont="1" applyBorder="1" applyAlignment="1">
      <alignment horizontal="center" vertical="center" wrapText="1"/>
    </xf>
    <xf numFmtId="0" fontId="41" fillId="0" borderId="3" xfId="0" applyFont="1" applyBorder="1" applyAlignment="1">
      <alignment vertical="center" wrapText="1"/>
    </xf>
    <xf numFmtId="0" fontId="41" fillId="0" borderId="3" xfId="0" applyFont="1" applyBorder="1" applyAlignment="1">
      <alignment horizontal="center" vertical="center" wrapText="1"/>
    </xf>
    <xf numFmtId="175" fontId="41" fillId="0" borderId="3" xfId="0" applyNumberFormat="1" applyFont="1" applyBorder="1" applyAlignment="1">
      <alignment horizontal="center" vertical="center" wrapText="1"/>
    </xf>
    <xf numFmtId="0" fontId="41" fillId="0" borderId="3" xfId="0" applyFont="1" applyBorder="1" applyAlignment="1">
      <alignment vertical="center" wrapText="1"/>
    </xf>
    <xf numFmtId="174" fontId="9" fillId="0" borderId="2" xfId="0" applyNumberFormat="1" applyFont="1" applyBorder="1" applyAlignment="1">
      <alignment horizontal="justify"/>
    </xf>
    <xf numFmtId="175" fontId="10" fillId="0" borderId="3" xfId="0" applyNumberFormat="1" applyFont="1" applyFill="1" applyBorder="1" applyAlignment="1">
      <alignment horizontal="center"/>
    </xf>
    <xf numFmtId="175" fontId="41" fillId="0" borderId="3" xfId="0" applyNumberFormat="1" applyFont="1" applyFill="1" applyBorder="1" applyAlignment="1">
      <alignment horizontal="center" vertical="center" wrapText="1"/>
    </xf>
    <xf numFmtId="0" fontId="41" fillId="0" borderId="3" xfId="0" applyFont="1" applyFill="1" applyBorder="1" applyAlignment="1">
      <alignment vertical="center" wrapText="1"/>
    </xf>
    <xf numFmtId="175" fontId="41" fillId="8" borderId="3" xfId="0" applyNumberFormat="1" applyFont="1" applyFill="1" applyBorder="1" applyAlignment="1">
      <alignment horizontal="center" vertical="center" wrapText="1"/>
    </xf>
    <xf numFmtId="4" fontId="63" fillId="0" borderId="0" xfId="0" applyNumberFormat="1" applyFont="1"/>
    <xf numFmtId="4" fontId="42" fillId="0" borderId="3" xfId="0" applyNumberFormat="1" applyFont="1" applyFill="1" applyBorder="1" applyAlignment="1">
      <alignment horizontal="center" vertical="top" wrapText="1"/>
    </xf>
    <xf numFmtId="175" fontId="41" fillId="0" borderId="3" xfId="0" applyNumberFormat="1" applyFont="1" applyFill="1" applyBorder="1" applyAlignment="1">
      <alignment horizontal="center" vertical="center" wrapText="1"/>
    </xf>
    <xf numFmtId="0" fontId="42" fillId="0" borderId="3" xfId="0" applyFont="1" applyFill="1" applyBorder="1" applyAlignment="1">
      <alignment vertical="center" wrapText="1"/>
    </xf>
    <xf numFmtId="1" fontId="42" fillId="0" borderId="3" xfId="0" applyNumberFormat="1" applyFont="1" applyFill="1" applyBorder="1" applyAlignment="1">
      <alignment horizontal="right" vertical="center" wrapText="1"/>
    </xf>
    <xf numFmtId="175" fontId="42" fillId="0" borderId="3" xfId="0" applyNumberFormat="1" applyFont="1" applyFill="1" applyBorder="1" applyAlignment="1">
      <alignment vertical="center" wrapText="1"/>
    </xf>
    <xf numFmtId="175" fontId="41" fillId="0" borderId="3" xfId="0" applyNumberFormat="1" applyFont="1" applyFill="1" applyBorder="1" applyAlignment="1">
      <alignment vertical="center" wrapText="1"/>
    </xf>
    <xf numFmtId="1" fontId="41" fillId="0" borderId="3" xfId="0" applyNumberFormat="1" applyFont="1" applyFill="1" applyBorder="1" applyAlignment="1">
      <alignment horizontal="center" vertical="center" wrapText="1"/>
    </xf>
    <xf numFmtId="0" fontId="10" fillId="0" borderId="3" xfId="0" applyFont="1" applyFill="1" applyBorder="1" applyAlignment="1">
      <alignment horizontal="center"/>
    </xf>
    <xf numFmtId="175" fontId="41" fillId="0" borderId="3" xfId="0" applyNumberFormat="1" applyFont="1" applyFill="1" applyBorder="1" applyAlignment="1">
      <alignment horizontal="center"/>
    </xf>
    <xf numFmtId="0" fontId="41" fillId="0" borderId="3" xfId="0" applyFont="1" applyFill="1" applyBorder="1" applyAlignment="1">
      <alignment horizontal="center"/>
    </xf>
    <xf numFmtId="174" fontId="41" fillId="0" borderId="3" xfId="0" applyNumberFormat="1" applyFont="1" applyFill="1" applyBorder="1" applyAlignment="1">
      <alignment horizontal="center" vertical="center" wrapText="1"/>
    </xf>
    <xf numFmtId="0" fontId="10" fillId="0" borderId="3" xfId="0" applyFont="1" applyFill="1" applyBorder="1" applyAlignment="1">
      <alignment vertical="center"/>
    </xf>
    <xf numFmtId="0" fontId="10" fillId="0" borderId="3" xfId="0" applyFont="1" applyFill="1" applyBorder="1" applyAlignment="1">
      <alignment horizontal="right"/>
    </xf>
    <xf numFmtId="2" fontId="10" fillId="0" borderId="3" xfId="0" applyNumberFormat="1" applyFont="1" applyFill="1" applyBorder="1" applyAlignment="1">
      <alignment horizontal="center"/>
    </xf>
    <xf numFmtId="175" fontId="41" fillId="0" borderId="3" xfId="0" applyNumberFormat="1" applyFont="1" applyFill="1" applyBorder="1"/>
    <xf numFmtId="0" fontId="64" fillId="0" borderId="0" xfId="0" applyFont="1" applyAlignment="1">
      <alignment horizontal="left" vertical="center"/>
    </xf>
    <xf numFmtId="0" fontId="65" fillId="0" borderId="0" xfId="0" applyFont="1" applyAlignment="1">
      <alignment horizontal="left"/>
    </xf>
    <xf numFmtId="0" fontId="66" fillId="0" borderId="13" xfId="0" applyFont="1" applyBorder="1" applyAlignment="1">
      <alignment horizontal="left"/>
    </xf>
    <xf numFmtId="49" fontId="67" fillId="0" borderId="0" xfId="0" applyNumberFormat="1" applyFont="1" applyAlignment="1">
      <alignment horizontal="center" vertical="center"/>
    </xf>
    <xf numFmtId="0" fontId="68" fillId="0" borderId="0" xfId="0" applyFont="1" applyAlignment="1">
      <alignment horizontal="justify" vertical="top" wrapText="1"/>
    </xf>
    <xf numFmtId="0" fontId="68" fillId="0" borderId="0" xfId="0" applyFont="1" applyAlignment="1">
      <alignment horizontal="center" vertical="top" wrapText="1"/>
    </xf>
    <xf numFmtId="1" fontId="68" fillId="8" borderId="0" xfId="0" applyNumberFormat="1" applyFont="1" applyFill="1" applyAlignment="1">
      <alignment horizontal="center" vertical="top" wrapText="1"/>
    </xf>
    <xf numFmtId="4" fontId="68" fillId="8" borderId="0" xfId="0" applyNumberFormat="1" applyFont="1" applyFill="1" applyAlignment="1">
      <alignment horizontal="center" vertical="top" wrapText="1"/>
    </xf>
    <xf numFmtId="0" fontId="68" fillId="0" borderId="3" xfId="0" applyFont="1" applyBorder="1" applyAlignment="1">
      <alignment horizontal="center" vertical="center" wrapText="1"/>
    </xf>
    <xf numFmtId="49" fontId="67" fillId="0" borderId="3" xfId="0" applyNumberFormat="1" applyFont="1" applyFill="1" applyBorder="1" applyAlignment="1">
      <alignment horizontal="center" vertical="center"/>
    </xf>
    <xf numFmtId="175" fontId="68" fillId="0" borderId="3" xfId="0" applyNumberFormat="1" applyFont="1" applyFill="1" applyBorder="1" applyAlignment="1">
      <alignment horizontal="center" vertical="center" wrapText="1"/>
    </xf>
    <xf numFmtId="0" fontId="69" fillId="0" borderId="0" xfId="0" applyFont="1"/>
    <xf numFmtId="0" fontId="70" fillId="0" borderId="0" xfId="0" applyFont="1"/>
    <xf numFmtId="0" fontId="71" fillId="0" borderId="3" xfId="0" applyFont="1" applyBorder="1" applyAlignment="1">
      <alignment horizontal="center" vertical="center" wrapText="1"/>
    </xf>
    <xf numFmtId="1" fontId="71" fillId="0" borderId="3" xfId="0" applyNumberFormat="1" applyFont="1" applyBorder="1" applyAlignment="1">
      <alignment horizontal="center" vertical="center" wrapText="1"/>
    </xf>
    <xf numFmtId="0" fontId="71" fillId="0" borderId="3" xfId="0" applyFont="1" applyFill="1" applyBorder="1" applyAlignment="1">
      <alignment horizontal="center" vertical="center" wrapText="1"/>
    </xf>
    <xf numFmtId="0" fontId="71" fillId="0" borderId="3" xfId="0" applyFont="1" applyBorder="1" applyAlignment="1">
      <alignment vertical="center" wrapText="1"/>
    </xf>
    <xf numFmtId="177" fontId="71" fillId="0" borderId="3" xfId="0" applyNumberFormat="1" applyFont="1" applyBorder="1" applyAlignment="1">
      <alignment horizontal="center" vertical="center" wrapText="1"/>
    </xf>
    <xf numFmtId="0" fontId="35" fillId="0" borderId="0" xfId="0" applyFont="1"/>
    <xf numFmtId="0" fontId="63" fillId="0" borderId="0" xfId="0" applyFont="1"/>
    <xf numFmtId="2" fontId="71" fillId="0" borderId="3" xfId="0" applyNumberFormat="1" applyFont="1" applyBorder="1" applyAlignment="1">
      <alignment horizontal="center" vertical="center" wrapText="1"/>
    </xf>
    <xf numFmtId="0" fontId="71" fillId="0" borderId="3" xfId="0" applyFont="1" applyBorder="1" applyAlignment="1">
      <alignment horizontal="left" vertical="center" wrapText="1"/>
    </xf>
    <xf numFmtId="2" fontId="71" fillId="0" borderId="3" xfId="0" applyNumberFormat="1" applyFont="1" applyFill="1" applyBorder="1" applyAlignment="1">
      <alignment horizontal="center" vertical="center" wrapText="1"/>
    </xf>
    <xf numFmtId="0" fontId="70" fillId="0" borderId="3" xfId="0" applyFont="1" applyBorder="1" applyAlignment="1">
      <alignment horizontal="center"/>
    </xf>
    <xf numFmtId="2" fontId="70" fillId="0" borderId="3" xfId="0" applyNumberFormat="1" applyFont="1" applyBorder="1" applyAlignment="1">
      <alignment horizontal="center"/>
    </xf>
    <xf numFmtId="175" fontId="70" fillId="0" borderId="3" xfId="0" applyNumberFormat="1" applyFont="1" applyBorder="1" applyAlignment="1">
      <alignment horizontal="center"/>
    </xf>
    <xf numFmtId="175" fontId="67" fillId="0" borderId="3" xfId="0" applyNumberFormat="1" applyFont="1" applyFill="1" applyBorder="1" applyAlignment="1">
      <alignment horizontal="center"/>
    </xf>
    <xf numFmtId="0" fontId="68" fillId="0" borderId="3" xfId="0" applyFont="1" applyBorder="1" applyAlignment="1">
      <alignment horizontal="left" vertical="center" wrapText="1"/>
    </xf>
    <xf numFmtId="0" fontId="67" fillId="0" borderId="3" xfId="0" applyFont="1" applyBorder="1" applyAlignment="1">
      <alignment horizontal="center"/>
    </xf>
    <xf numFmtId="2" fontId="67" fillId="0" borderId="3" xfId="0" applyNumberFormat="1" applyFont="1" applyBorder="1" applyAlignment="1">
      <alignment horizontal="center"/>
    </xf>
    <xf numFmtId="175" fontId="67" fillId="0" borderId="3" xfId="0" applyNumberFormat="1" applyFont="1" applyBorder="1" applyAlignment="1">
      <alignment horizontal="center"/>
    </xf>
    <xf numFmtId="0" fontId="71" fillId="6" borderId="3" xfId="0" applyFont="1" applyFill="1" applyBorder="1" applyAlignment="1">
      <alignment horizontal="center" vertical="center" wrapText="1"/>
    </xf>
    <xf numFmtId="49" fontId="10" fillId="0" borderId="0" xfId="0" applyNumberFormat="1" applyFont="1"/>
    <xf numFmtId="0" fontId="72" fillId="0" borderId="3" xfId="0" applyFont="1" applyBorder="1" applyAlignment="1">
      <alignment horizontal="center" vertical="center" wrapText="1"/>
    </xf>
    <xf numFmtId="175" fontId="71" fillId="0" borderId="3" xfId="0" applyNumberFormat="1" applyFont="1" applyBorder="1" applyAlignment="1">
      <alignment vertical="center" wrapText="1"/>
    </xf>
    <xf numFmtId="175" fontId="73" fillId="0" borderId="3" xfId="0" applyNumberFormat="1" applyFont="1" applyBorder="1" applyAlignment="1">
      <alignment vertical="center" wrapText="1"/>
    </xf>
    <xf numFmtId="174" fontId="71" fillId="0" borderId="3" xfId="0" applyNumberFormat="1" applyFont="1" applyBorder="1" applyAlignment="1">
      <alignment horizontal="center" vertical="center" wrapText="1"/>
    </xf>
    <xf numFmtId="0" fontId="71" fillId="0" borderId="3" xfId="0" applyFont="1" applyBorder="1" applyAlignment="1">
      <alignment horizontal="right" vertical="center" wrapText="1"/>
    </xf>
    <xf numFmtId="0" fontId="71" fillId="5" borderId="0" xfId="0" applyFont="1" applyFill="1"/>
    <xf numFmtId="0" fontId="74" fillId="5" borderId="0" xfId="0" applyFont="1" applyFill="1"/>
    <xf numFmtId="0" fontId="71" fillId="0" borderId="0" xfId="0" applyFont="1"/>
    <xf numFmtId="0" fontId="74" fillId="0" borderId="0" xfId="0" applyFont="1"/>
    <xf numFmtId="0" fontId="71" fillId="0" borderId="0" xfId="0" applyFont="1" applyAlignment="1">
      <alignment vertical="center"/>
    </xf>
    <xf numFmtId="4" fontId="10" fillId="0" borderId="3" xfId="0" applyNumberFormat="1" applyFont="1" applyBorder="1"/>
    <xf numFmtId="4" fontId="18" fillId="0" borderId="3" xfId="0" applyNumberFormat="1" applyFont="1" applyBorder="1"/>
    <xf numFmtId="4" fontId="62" fillId="0" borderId="3" xfId="0" applyNumberFormat="1" applyFont="1" applyBorder="1"/>
    <xf numFmtId="4" fontId="63" fillId="0" borderId="3" xfId="0" applyNumberFormat="1" applyFont="1" applyBorder="1"/>
    <xf numFmtId="0" fontId="63" fillId="0" borderId="0" xfId="0" applyFont="1" applyAlignment="1">
      <alignment horizontal="left"/>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174" fontId="10" fillId="0" borderId="3" xfId="0" applyNumberFormat="1" applyFont="1" applyBorder="1" applyAlignment="1">
      <alignment horizontal="center" vertical="center" wrapText="1"/>
    </xf>
    <xf numFmtId="0" fontId="10" fillId="0" borderId="3" xfId="0" applyFont="1" applyBorder="1" applyAlignment="1">
      <alignment horizontal="left" vertical="center" wrapText="1"/>
    </xf>
    <xf numFmtId="49"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175" fontId="10" fillId="0" borderId="3" xfId="0" applyNumberFormat="1" applyFont="1" applyBorder="1" applyAlignment="1">
      <alignment horizontal="center" vertical="center" wrapText="1"/>
    </xf>
    <xf numFmtId="0" fontId="10" fillId="4" borderId="3" xfId="0" applyFont="1" applyFill="1" applyBorder="1" applyAlignment="1">
      <alignment vertical="center" wrapText="1"/>
    </xf>
    <xf numFmtId="0" fontId="10" fillId="4" borderId="3" xfId="0"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174" fontId="10" fillId="4" borderId="3" xfId="0" applyNumberFormat="1" applyFont="1" applyFill="1" applyBorder="1" applyAlignment="1">
      <alignment horizontal="center" vertical="center" wrapText="1"/>
    </xf>
    <xf numFmtId="175" fontId="10" fillId="4" borderId="3" xfId="0" applyNumberFormat="1" applyFont="1" applyFill="1" applyBorder="1" applyAlignment="1">
      <alignment horizontal="center" vertical="center" wrapText="1"/>
    </xf>
    <xf numFmtId="0" fontId="50" fillId="4" borderId="3" xfId="0"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174" fontId="10" fillId="0" borderId="5" xfId="0" applyNumberFormat="1" applyFont="1" applyBorder="1" applyAlignment="1">
      <alignment horizontal="center" vertical="center" wrapText="1"/>
    </xf>
    <xf numFmtId="0" fontId="18" fillId="0" borderId="3" xfId="0" applyFont="1" applyBorder="1" applyAlignment="1">
      <alignment horizontal="center" vertical="center" wrapText="1"/>
    </xf>
    <xf numFmtId="0" fontId="10" fillId="4" borderId="3" xfId="0" applyFont="1" applyFill="1" applyBorder="1" applyAlignment="1">
      <alignment horizontal="left" vertical="center" wrapText="1"/>
    </xf>
    <xf numFmtId="0" fontId="10" fillId="0" borderId="4" xfId="0" applyFont="1" applyBorder="1" applyAlignment="1">
      <alignment vertical="center" wrapText="1"/>
    </xf>
    <xf numFmtId="0" fontId="11" fillId="0" borderId="3" xfId="0" applyFont="1" applyBorder="1" applyAlignment="1">
      <alignment horizontal="center" vertical="center" wrapText="1"/>
    </xf>
    <xf numFmtId="0" fontId="10" fillId="0" borderId="5" xfId="0" applyFont="1" applyBorder="1" applyAlignment="1">
      <alignment vertical="center" wrapText="1"/>
    </xf>
    <xf numFmtId="0" fontId="10" fillId="0" borderId="6" xfId="0" applyFont="1" applyBorder="1" applyAlignment="1">
      <alignment horizontal="center" vertical="center" wrapText="1"/>
    </xf>
    <xf numFmtId="0" fontId="10" fillId="0" borderId="6" xfId="0" applyFont="1" applyBorder="1" applyAlignment="1">
      <alignment vertical="center" wrapText="1"/>
    </xf>
    <xf numFmtId="49" fontId="25" fillId="0" borderId="34" xfId="26" applyNumberFormat="1" applyFont="1" applyBorder="1" applyAlignment="1">
      <alignment horizontal="center" vertical="top"/>
    </xf>
    <xf numFmtId="0" fontId="42" fillId="0" borderId="3" xfId="0" applyFont="1" applyFill="1" applyBorder="1" applyAlignment="1">
      <alignment horizontal="left" vertical="top" wrapText="1"/>
    </xf>
    <xf numFmtId="4" fontId="75" fillId="0" borderId="0" xfId="0" applyNumberFormat="1" applyFont="1"/>
    <xf numFmtId="0" fontId="18" fillId="0" borderId="0" xfId="0" applyFont="1"/>
    <xf numFmtId="0" fontId="75" fillId="0" borderId="0" xfId="0" applyFont="1"/>
    <xf numFmtId="0" fontId="75" fillId="0" borderId="0" xfId="0" applyFont="1" applyAlignment="1">
      <alignment horizontal="left"/>
    </xf>
    <xf numFmtId="4" fontId="75" fillId="0" borderId="3" xfId="0" applyNumberFormat="1" applyFont="1" applyBorder="1"/>
    <xf numFmtId="4" fontId="10" fillId="0" borderId="28" xfId="0" applyNumberFormat="1" applyFont="1" applyBorder="1" applyAlignment="1">
      <alignment vertical="center"/>
    </xf>
    <xf numFmtId="4" fontId="63" fillId="0" borderId="0" xfId="0" applyNumberFormat="1" applyFont="1" applyAlignment="1">
      <alignment vertical="center"/>
    </xf>
    <xf numFmtId="4" fontId="63" fillId="0" borderId="4" xfId="0" applyNumberFormat="1" applyFont="1" applyBorder="1" applyAlignment="1">
      <alignment vertical="center"/>
    </xf>
    <xf numFmtId="4" fontId="63" fillId="0" borderId="6" xfId="0" applyNumberFormat="1" applyFont="1" applyBorder="1" applyAlignment="1">
      <alignment vertical="center"/>
    </xf>
    <xf numFmtId="4" fontId="63" fillId="0" borderId="5" xfId="0" applyNumberFormat="1" applyFont="1" applyBorder="1" applyAlignment="1">
      <alignment vertical="center"/>
    </xf>
    <xf numFmtId="4" fontId="10" fillId="0" borderId="14" xfId="0" applyNumberFormat="1" applyFont="1" applyBorder="1"/>
    <xf numFmtId="4" fontId="10" fillId="0" borderId="12" xfId="0" applyNumberFormat="1" applyFont="1" applyBorder="1"/>
    <xf numFmtId="4" fontId="10" fillId="0" borderId="13" xfId="0" applyNumberFormat="1" applyFont="1" applyBorder="1"/>
    <xf numFmtId="4" fontId="18" fillId="0" borderId="29" xfId="0" applyNumberFormat="1" applyFont="1" applyBorder="1"/>
    <xf numFmtId="4" fontId="18" fillId="0" borderId="0" xfId="0" applyNumberFormat="1" applyFont="1" applyBorder="1"/>
    <xf numFmtId="4" fontId="18" fillId="0" borderId="28" xfId="0" applyNumberFormat="1" applyFont="1" applyBorder="1"/>
    <xf numFmtId="4" fontId="75" fillId="0" borderId="0" xfId="0" applyNumberFormat="1" applyFont="1" applyBorder="1"/>
    <xf numFmtId="4" fontId="10" fillId="0" borderId="0" xfId="0" applyNumberFormat="1" applyFont="1" applyBorder="1"/>
    <xf numFmtId="4" fontId="75" fillId="0" borderId="2" xfId="0" applyNumberFormat="1" applyFont="1" applyBorder="1"/>
    <xf numFmtId="4" fontId="75" fillId="0" borderId="33" xfId="0" applyNumberFormat="1" applyFont="1" applyBorder="1"/>
    <xf numFmtId="0" fontId="42" fillId="8" borderId="43" xfId="0" applyFont="1" applyFill="1" applyBorder="1" applyAlignment="1">
      <alignment horizontal="left" vertical="top" wrapText="1"/>
    </xf>
    <xf numFmtId="0" fontId="42" fillId="0" borderId="3" xfId="0" applyFont="1" applyBorder="1" applyAlignment="1">
      <alignment horizontal="justify" vertical="top" wrapText="1"/>
    </xf>
    <xf numFmtId="0" fontId="42" fillId="8" borderId="44" xfId="0" applyFont="1" applyFill="1" applyBorder="1" applyAlignment="1">
      <alignment horizontal="center" vertical="top" wrapText="1"/>
    </xf>
    <xf numFmtId="3" fontId="42" fillId="8" borderId="3" xfId="0" applyNumberFormat="1" applyFont="1" applyFill="1" applyBorder="1" applyAlignment="1">
      <alignment horizontal="center" vertical="top" wrapText="1"/>
    </xf>
    <xf numFmtId="2" fontId="42" fillId="8" borderId="3" xfId="0" applyNumberFormat="1" applyFont="1" applyFill="1" applyBorder="1" applyAlignment="1">
      <alignment horizontal="center" vertical="top" wrapText="1"/>
    </xf>
    <xf numFmtId="4" fontId="42" fillId="8" borderId="3" xfId="0" applyNumberFormat="1" applyFont="1" applyFill="1" applyBorder="1" applyAlignment="1">
      <alignment horizontal="center" vertical="top" wrapText="1"/>
    </xf>
    <xf numFmtId="0" fontId="42" fillId="8" borderId="45" xfId="0" applyFont="1" applyFill="1" applyBorder="1" applyAlignment="1">
      <alignment horizontal="center" vertical="top" wrapText="1"/>
    </xf>
    <xf numFmtId="0" fontId="42" fillId="0" borderId="30" xfId="0" applyFont="1" applyBorder="1" applyAlignment="1">
      <alignment horizontal="center" vertical="top" wrapText="1"/>
    </xf>
    <xf numFmtId="0" fontId="42" fillId="0" borderId="12" xfId="0" applyFont="1" applyBorder="1" applyAlignment="1">
      <alignment horizontal="center" vertical="top" wrapText="1"/>
    </xf>
    <xf numFmtId="4" fontId="76" fillId="0" borderId="3" xfId="0" applyNumberFormat="1" applyFont="1" applyFill="1" applyBorder="1" applyAlignment="1">
      <alignment horizontal="center" vertical="top" wrapText="1"/>
    </xf>
    <xf numFmtId="4" fontId="76" fillId="0" borderId="5" xfId="0" applyNumberFormat="1" applyFont="1" applyFill="1" applyBorder="1" applyAlignment="1">
      <alignment horizontal="center" vertical="top" wrapText="1"/>
    </xf>
    <xf numFmtId="0" fontId="43" fillId="0" borderId="3" xfId="0" applyFont="1" applyFill="1" applyBorder="1" applyAlignment="1">
      <alignment horizontal="center"/>
    </xf>
    <xf numFmtId="0" fontId="43" fillId="0" borderId="5" xfId="0" applyFont="1" applyFill="1" applyBorder="1" applyAlignment="1">
      <alignment horizontal="center"/>
    </xf>
    <xf numFmtId="0" fontId="43" fillId="0" borderId="3" xfId="0" applyFont="1" applyFill="1" applyBorder="1" applyAlignment="1">
      <alignment horizontal="center" vertical="center"/>
    </xf>
    <xf numFmtId="0" fontId="43" fillId="0" borderId="5" xfId="0" applyFont="1" applyFill="1" applyBorder="1" applyAlignment="1">
      <alignment horizontal="center" vertical="center"/>
    </xf>
    <xf numFmtId="0" fontId="13" fillId="0" borderId="0" xfId="26" applyFont="1"/>
    <xf numFmtId="0" fontId="52" fillId="0" borderId="0" xfId="26" applyFont="1" applyAlignment="1">
      <alignment horizontal="left"/>
    </xf>
    <xf numFmtId="0" fontId="13" fillId="0" borderId="0" xfId="26" applyFont="1" applyFill="1"/>
    <xf numFmtId="0" fontId="14" fillId="0" borderId="0" xfId="26" applyFont="1" applyFill="1" applyAlignment="1">
      <alignment horizontal="center" vertical="top"/>
    </xf>
    <xf numFmtId="0" fontId="14" fillId="0" borderId="0" xfId="26" applyFont="1" applyAlignment="1">
      <alignment horizontal="left"/>
    </xf>
    <xf numFmtId="0" fontId="14" fillId="0" borderId="0" xfId="26" applyFont="1" applyFill="1" applyAlignment="1">
      <alignment horizontal="right"/>
    </xf>
    <xf numFmtId="0" fontId="14" fillId="0" borderId="0" xfId="26" applyFont="1" applyFill="1" applyAlignment="1">
      <alignment horizontal="left"/>
    </xf>
    <xf numFmtId="0" fontId="14" fillId="0" borderId="15" xfId="26" applyFont="1" applyFill="1" applyBorder="1" applyAlignment="1">
      <alignment horizontal="left"/>
    </xf>
    <xf numFmtId="0" fontId="14" fillId="0" borderId="16" xfId="26" applyFont="1" applyFill="1" applyBorder="1" applyAlignment="1">
      <alignment horizontal="left"/>
    </xf>
    <xf numFmtId="0" fontId="14" fillId="0" borderId="17" xfId="26" applyFont="1" applyFill="1" applyBorder="1" applyAlignment="1">
      <alignment horizontal="left"/>
    </xf>
    <xf numFmtId="0" fontId="14" fillId="0" borderId="18" xfId="26" applyFont="1" applyFill="1" applyBorder="1" applyAlignment="1">
      <alignment horizontal="left"/>
    </xf>
    <xf numFmtId="0" fontId="14" fillId="0" borderId="17" xfId="26" applyFont="1" applyBorder="1" applyAlignment="1">
      <alignment horizontal="center" vertical="top"/>
    </xf>
    <xf numFmtId="0" fontId="14" fillId="0" borderId="0" xfId="26" applyFont="1" applyAlignment="1">
      <alignment horizontal="center" vertical="top"/>
    </xf>
    <xf numFmtId="0" fontId="14" fillId="0" borderId="18" xfId="26" applyFont="1" applyBorder="1" applyAlignment="1">
      <alignment horizontal="center" vertical="top"/>
    </xf>
    <xf numFmtId="0" fontId="14" fillId="0" borderId="17" xfId="26" applyFont="1" applyBorder="1" applyAlignment="1">
      <alignment horizontal="left"/>
    </xf>
    <xf numFmtId="0" fontId="14" fillId="0" borderId="18" xfId="26" applyFont="1" applyBorder="1" applyAlignment="1">
      <alignment horizontal="left"/>
    </xf>
    <xf numFmtId="49" fontId="15" fillId="0" borderId="30" xfId="26" applyNumberFormat="1" applyFont="1" applyBorder="1" applyAlignment="1">
      <alignment horizontal="center"/>
    </xf>
    <xf numFmtId="49" fontId="15" fillId="0" borderId="33" xfId="26" applyNumberFormat="1" applyFont="1" applyBorder="1" applyAlignment="1">
      <alignment horizontal="center" vertical="top" wrapText="1"/>
    </xf>
    <xf numFmtId="49" fontId="80" fillId="14" borderId="41" xfId="0" applyNumberFormat="1" applyFont="1" applyFill="1" applyBorder="1" applyAlignment="1">
      <alignment horizontal="center"/>
    </xf>
    <xf numFmtId="4" fontId="80" fillId="14" borderId="41" xfId="0" applyNumberFormat="1" applyFont="1" applyFill="1" applyBorder="1" applyAlignment="1">
      <alignment horizontal="right"/>
    </xf>
    <xf numFmtId="49" fontId="80" fillId="14" borderId="12" xfId="0" applyNumberFormat="1" applyFont="1" applyFill="1" applyBorder="1" applyAlignment="1">
      <alignment horizontal="center"/>
    </xf>
    <xf numFmtId="4" fontId="80" fillId="14" borderId="12" xfId="0" applyNumberFormat="1" applyFont="1" applyFill="1" applyBorder="1" applyAlignment="1">
      <alignment horizontal="right"/>
    </xf>
    <xf numFmtId="49" fontId="80" fillId="0" borderId="12" xfId="0" applyNumberFormat="1" applyFont="1" applyBorder="1" applyAlignment="1">
      <alignment horizontal="center"/>
    </xf>
    <xf numFmtId="4" fontId="80" fillId="0" borderId="12" xfId="0" applyNumberFormat="1" applyFont="1" applyBorder="1" applyAlignment="1">
      <alignment horizontal="right"/>
    </xf>
    <xf numFmtId="49" fontId="80" fillId="14" borderId="41" xfId="26" applyNumberFormat="1" applyFont="1" applyFill="1" applyBorder="1" applyAlignment="1">
      <alignment horizontal="center"/>
    </xf>
    <xf numFmtId="4" fontId="80" fillId="14" borderId="41" xfId="26" applyNumberFormat="1" applyFont="1" applyFill="1" applyBorder="1" applyAlignment="1">
      <alignment horizontal="right"/>
    </xf>
    <xf numFmtId="49" fontId="80" fillId="0" borderId="12" xfId="26" applyNumberFormat="1" applyFont="1" applyBorder="1" applyAlignment="1">
      <alignment horizontal="center"/>
    </xf>
    <xf numFmtId="4" fontId="80" fillId="0" borderId="12" xfId="26" applyNumberFormat="1" applyFont="1" applyBorder="1" applyAlignment="1">
      <alignment horizontal="right"/>
    </xf>
    <xf numFmtId="0" fontId="28" fillId="0" borderId="0" xfId="26" applyFont="1" applyAlignment="1">
      <alignment horizontal="left"/>
    </xf>
    <xf numFmtId="49" fontId="18" fillId="0" borderId="0" xfId="0" applyNumberFormat="1" applyFont="1" applyAlignment="1">
      <alignment horizontal="left"/>
    </xf>
    <xf numFmtId="4" fontId="18" fillId="0" borderId="30" xfId="0" applyNumberFormat="1" applyFont="1" applyBorder="1"/>
    <xf numFmtId="4" fontId="18" fillId="0" borderId="27" xfId="0" applyNumberFormat="1" applyFont="1" applyBorder="1"/>
    <xf numFmtId="4" fontId="18" fillId="0" borderId="33" xfId="0" applyNumberFormat="1" applyFont="1" applyBorder="1"/>
    <xf numFmtId="4" fontId="18" fillId="0" borderId="32" xfId="0" applyNumberFormat="1" applyFont="1" applyBorder="1"/>
    <xf numFmtId="0" fontId="18" fillId="0" borderId="30" xfId="0" applyFont="1" applyBorder="1"/>
    <xf numFmtId="0" fontId="18" fillId="0" borderId="7" xfId="0" applyFont="1" applyBorder="1"/>
    <xf numFmtId="0" fontId="18" fillId="0" borderId="29" xfId="0" applyFont="1" applyBorder="1"/>
    <xf numFmtId="0" fontId="18" fillId="0" borderId="0" xfId="0" applyFont="1" applyBorder="1"/>
    <xf numFmtId="0" fontId="18" fillId="0" borderId="0" xfId="0" applyFont="1" applyBorder="1" applyAlignment="1">
      <alignment horizontal="left"/>
    </xf>
    <xf numFmtId="0" fontId="18" fillId="0" borderId="33" xfId="0" applyFont="1" applyBorder="1"/>
    <xf numFmtId="0" fontId="18" fillId="0" borderId="2" xfId="0" applyFont="1" applyBorder="1"/>
    <xf numFmtId="0" fontId="18" fillId="0" borderId="2" xfId="0" applyFont="1" applyBorder="1" applyAlignment="1">
      <alignment horizontal="left"/>
    </xf>
    <xf numFmtId="49" fontId="25" fillId="0" borderId="12" xfId="26" applyNumberFormat="1" applyFont="1" applyBorder="1" applyAlignment="1">
      <alignment horizontal="center" vertical="top"/>
    </xf>
    <xf numFmtId="49" fontId="25" fillId="0" borderId="6" xfId="26" applyNumberFormat="1" applyFont="1" applyBorder="1" applyAlignment="1">
      <alignment horizontal="center" vertical="top"/>
    </xf>
    <xf numFmtId="4" fontId="80" fillId="14" borderId="46" xfId="0" applyNumberFormat="1" applyFont="1" applyFill="1" applyBorder="1" applyAlignment="1">
      <alignment horizontal="right"/>
    </xf>
    <xf numFmtId="4" fontId="80" fillId="14" borderId="3" xfId="0" applyNumberFormat="1" applyFont="1" applyFill="1" applyBorder="1" applyAlignment="1">
      <alignment horizontal="right"/>
    </xf>
    <xf numFmtId="4" fontId="80" fillId="0" borderId="3" xfId="0" applyNumberFormat="1" applyFont="1" applyBorder="1" applyAlignment="1">
      <alignment horizontal="right"/>
    </xf>
    <xf numFmtId="4" fontId="80" fillId="14" borderId="46" xfId="26" applyNumberFormat="1" applyFont="1" applyFill="1" applyBorder="1" applyAlignment="1">
      <alignment horizontal="right"/>
    </xf>
    <xf numFmtId="4" fontId="80" fillId="0" borderId="3" xfId="26" applyNumberFormat="1" applyFont="1" applyBorder="1" applyAlignment="1">
      <alignment horizontal="right"/>
    </xf>
    <xf numFmtId="174" fontId="20" fillId="0" borderId="3" xfId="0" applyNumberFormat="1" applyFont="1" applyBorder="1" applyAlignment="1">
      <alignment horizontal="center" vertical="center" wrapText="1"/>
    </xf>
    <xf numFmtId="4" fontId="63" fillId="0" borderId="28" xfId="0" applyNumberFormat="1" applyFont="1" applyBorder="1"/>
    <xf numFmtId="0" fontId="71"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63" fillId="5" borderId="0" xfId="0" applyFont="1" applyFill="1"/>
    <xf numFmtId="0" fontId="82" fillId="0" borderId="3" xfId="0" applyFont="1" applyBorder="1" applyAlignment="1">
      <alignment horizontal="center" vertical="center" wrapText="1"/>
    </xf>
    <xf numFmtId="0" fontId="82" fillId="0" borderId="3" xfId="0" applyFont="1" applyFill="1" applyBorder="1" applyAlignment="1">
      <alignment horizontal="center" vertical="center" wrapText="1"/>
    </xf>
    <xf numFmtId="0" fontId="82" fillId="0" borderId="3" xfId="0" applyFont="1" applyBorder="1" applyAlignment="1">
      <alignment vertical="center" wrapText="1"/>
    </xf>
    <xf numFmtId="175" fontId="82" fillId="0" borderId="3" xfId="0" applyNumberFormat="1" applyFont="1" applyFill="1" applyBorder="1" applyAlignment="1">
      <alignment horizontal="center" vertical="center" wrapText="1"/>
    </xf>
    <xf numFmtId="0" fontId="63" fillId="0" borderId="3" xfId="0" applyFont="1" applyBorder="1" applyAlignment="1">
      <alignment vertical="center"/>
    </xf>
    <xf numFmtId="0" fontId="63" fillId="0" borderId="0" xfId="0" applyFont="1" applyAlignment="1">
      <alignment vertical="center"/>
    </xf>
    <xf numFmtId="175" fontId="82" fillId="0" borderId="3" xfId="0" applyNumberFormat="1" applyFont="1" applyBorder="1" applyAlignment="1">
      <alignment horizontal="center" vertical="center" wrapText="1"/>
    </xf>
    <xf numFmtId="0" fontId="77" fillId="0" borderId="0" xfId="0" applyFont="1"/>
    <xf numFmtId="175" fontId="82" fillId="0" borderId="0" xfId="0" applyNumberFormat="1" applyFont="1" applyAlignment="1">
      <alignment horizontal="center" vertical="center" wrapText="1"/>
    </xf>
    <xf numFmtId="0" fontId="83" fillId="0" borderId="0" xfId="0" applyFont="1"/>
    <xf numFmtId="0" fontId="82" fillId="5" borderId="0" xfId="0" applyFont="1" applyFill="1"/>
    <xf numFmtId="0" fontId="83" fillId="5" borderId="0" xfId="0" applyFont="1" applyFill="1"/>
    <xf numFmtId="0" fontId="82" fillId="0" borderId="0" xfId="0" applyFont="1"/>
    <xf numFmtId="0" fontId="82" fillId="0" borderId="3" xfId="0" applyFont="1" applyFill="1" applyBorder="1" applyAlignment="1">
      <alignment horizontal="center" vertical="top" wrapText="1"/>
    </xf>
    <xf numFmtId="1" fontId="82" fillId="0" borderId="3" xfId="0" applyNumberFormat="1" applyFont="1" applyFill="1" applyBorder="1" applyAlignment="1">
      <alignment horizontal="center" vertical="center" wrapText="1"/>
    </xf>
    <xf numFmtId="0" fontId="82" fillId="9" borderId="0" xfId="0" applyFont="1" applyFill="1"/>
    <xf numFmtId="0" fontId="83" fillId="9" borderId="0" xfId="0" applyFont="1" applyFill="1"/>
    <xf numFmtId="0" fontId="82" fillId="5" borderId="0" xfId="0" applyFont="1" applyFill="1" applyAlignment="1">
      <alignment vertical="center" wrapText="1"/>
    </xf>
    <xf numFmtId="0" fontId="82" fillId="5" borderId="0" xfId="0" applyFont="1" applyFill="1" applyAlignment="1">
      <alignment horizontal="center" vertical="center" wrapText="1"/>
    </xf>
    <xf numFmtId="175" fontId="82" fillId="5" borderId="0" xfId="0" applyNumberFormat="1" applyFont="1" applyFill="1" applyAlignment="1">
      <alignment horizontal="center" vertical="center" wrapText="1"/>
    </xf>
    <xf numFmtId="0" fontId="82" fillId="0" borderId="0" xfId="0" applyFont="1" applyAlignment="1">
      <alignment vertical="center" wrapText="1"/>
    </xf>
    <xf numFmtId="0" fontId="82" fillId="0" borderId="0" xfId="0" applyFont="1" applyAlignment="1">
      <alignment horizontal="center" vertical="center" wrapText="1"/>
    </xf>
    <xf numFmtId="0" fontId="63" fillId="0" borderId="3" xfId="0" applyFont="1" applyBorder="1" applyAlignment="1">
      <alignment horizontal="right"/>
    </xf>
    <xf numFmtId="0" fontId="63" fillId="0" borderId="3" xfId="0" applyFont="1" applyBorder="1" applyAlignment="1">
      <alignment horizontal="center"/>
    </xf>
    <xf numFmtId="0" fontId="82" fillId="0" borderId="3" xfId="0" applyFont="1" applyBorder="1" applyAlignment="1">
      <alignment horizontal="center"/>
    </xf>
    <xf numFmtId="0" fontId="82" fillId="0" borderId="3" xfId="0" applyFont="1" applyFill="1" applyBorder="1" applyAlignment="1">
      <alignment horizontal="center"/>
    </xf>
    <xf numFmtId="0" fontId="63" fillId="0" borderId="3" xfId="0" applyFont="1" applyBorder="1" applyAlignment="1">
      <alignment horizontal="center" vertical="center"/>
    </xf>
    <xf numFmtId="2" fontId="63" fillId="0" borderId="3" xfId="0" applyNumberFormat="1" applyFont="1" applyFill="1" applyBorder="1" applyAlignment="1">
      <alignment horizontal="center" vertical="center"/>
    </xf>
    <xf numFmtId="175" fontId="63" fillId="0" borderId="3" xfId="0" applyNumberFormat="1" applyFont="1" applyFill="1" applyBorder="1" applyAlignment="1">
      <alignment horizontal="center" vertical="center"/>
    </xf>
    <xf numFmtId="0" fontId="63" fillId="0" borderId="3" xfId="0" applyFont="1" applyFill="1" applyBorder="1" applyAlignment="1">
      <alignment horizontal="center" vertical="center"/>
    </xf>
    <xf numFmtId="2" fontId="63" fillId="0" borderId="3" xfId="0" applyNumberFormat="1" applyFont="1" applyBorder="1" applyAlignment="1">
      <alignment horizontal="center" vertical="center"/>
    </xf>
    <xf numFmtId="175" fontId="63" fillId="0" borderId="3" xfId="0" applyNumberFormat="1" applyFont="1" applyBorder="1" applyAlignment="1">
      <alignment horizontal="center" vertical="center"/>
    </xf>
    <xf numFmtId="0" fontId="63" fillId="0" borderId="3" xfId="0" applyFont="1" applyBorder="1"/>
    <xf numFmtId="0" fontId="63" fillId="0" borderId="3" xfId="0" applyFont="1" applyFill="1" applyBorder="1" applyAlignment="1">
      <alignment horizontal="center"/>
    </xf>
    <xf numFmtId="175" fontId="63" fillId="0" borderId="3" xfId="0" applyNumberFormat="1" applyFont="1" applyFill="1" applyBorder="1"/>
    <xf numFmtId="4" fontId="63" fillId="0" borderId="3" xfId="0" applyNumberFormat="1" applyFont="1" applyBorder="1" applyAlignment="1">
      <alignment horizontal="center"/>
    </xf>
    <xf numFmtId="0" fontId="10" fillId="0" borderId="0" xfId="0" applyFont="1" applyBorder="1"/>
    <xf numFmtId="0" fontId="10" fillId="0" borderId="0" xfId="0" applyFont="1" applyBorder="1" applyAlignment="1">
      <alignment horizontal="right"/>
    </xf>
    <xf numFmtId="0" fontId="10" fillId="0" borderId="0" xfId="0" applyFont="1" applyBorder="1" applyAlignment="1">
      <alignment horizontal="center"/>
    </xf>
    <xf numFmtId="0" fontId="10" fillId="0" borderId="0" xfId="0" applyFont="1" applyFill="1" applyBorder="1" applyAlignment="1">
      <alignment horizontal="center"/>
    </xf>
    <xf numFmtId="175" fontId="10" fillId="0" borderId="0" xfId="0" applyNumberFormat="1" applyFont="1" applyFill="1" applyBorder="1"/>
    <xf numFmtId="4" fontId="10" fillId="0" borderId="0" xfId="0" applyNumberFormat="1" applyFont="1" applyBorder="1" applyAlignment="1">
      <alignment horizontal="center"/>
    </xf>
    <xf numFmtId="0" fontId="84" fillId="0" borderId="3" xfId="0" applyFont="1" applyFill="1" applyBorder="1" applyAlignment="1">
      <alignment horizontal="center" vertical="center" wrapText="1"/>
    </xf>
    <xf numFmtId="0" fontId="84" fillId="0" borderId="3" xfId="0" applyFont="1" applyFill="1" applyBorder="1" applyAlignment="1">
      <alignment vertical="center" wrapText="1"/>
    </xf>
    <xf numFmtId="174" fontId="84" fillId="0" borderId="3" xfId="0" applyNumberFormat="1" applyFont="1" applyFill="1" applyBorder="1" applyAlignment="1">
      <alignment horizontal="center" vertical="center" wrapText="1"/>
    </xf>
    <xf numFmtId="175" fontId="84" fillId="0" borderId="3" xfId="0" applyNumberFormat="1" applyFont="1" applyFill="1" applyBorder="1" applyAlignment="1">
      <alignment horizontal="center" vertical="center" wrapText="1"/>
    </xf>
    <xf numFmtId="175" fontId="84" fillId="0" borderId="3" xfId="0" applyNumberFormat="1" applyFont="1" applyBorder="1" applyAlignment="1">
      <alignment horizontal="center" vertical="center" wrapText="1"/>
    </xf>
    <xf numFmtId="174" fontId="84" fillId="0" borderId="3" xfId="0" applyNumberFormat="1" applyFont="1" applyBorder="1" applyAlignment="1">
      <alignment horizontal="center" vertical="center" wrapText="1"/>
    </xf>
    <xf numFmtId="0" fontId="71" fillId="0" borderId="3" xfId="0" applyFont="1" applyFill="1" applyBorder="1" applyAlignment="1">
      <alignment vertical="center" wrapText="1"/>
    </xf>
    <xf numFmtId="175" fontId="71" fillId="0" borderId="3" xfId="0" applyNumberFormat="1" applyFont="1" applyFill="1" applyBorder="1" applyAlignment="1">
      <alignment vertical="center" wrapText="1"/>
    </xf>
    <xf numFmtId="0" fontId="71" fillId="0" borderId="3" xfId="0" applyFont="1" applyFill="1" applyBorder="1" applyAlignment="1">
      <alignment horizontal="right" vertical="center" wrapText="1"/>
    </xf>
    <xf numFmtId="4" fontId="86" fillId="4" borderId="3" xfId="0" applyNumberFormat="1" applyFont="1" applyFill="1" applyBorder="1" applyAlignment="1">
      <alignment horizontal="center" vertical="center" wrapText="1"/>
    </xf>
    <xf numFmtId="175" fontId="85" fillId="4" borderId="3" xfId="0" applyNumberFormat="1" applyFont="1" applyFill="1" applyBorder="1" applyAlignment="1">
      <alignment horizontal="center" vertical="center" wrapText="1"/>
    </xf>
    <xf numFmtId="4" fontId="87" fillId="4" borderId="3" xfId="0" applyNumberFormat="1" applyFont="1" applyFill="1" applyBorder="1" applyAlignment="1">
      <alignment horizontal="center" vertical="center" wrapText="1"/>
    </xf>
    <xf numFmtId="0" fontId="87" fillId="4" borderId="3" xfId="0" applyFont="1" applyFill="1" applyBorder="1" applyAlignment="1">
      <alignment horizontal="center" vertical="center" wrapText="1"/>
    </xf>
    <xf numFmtId="175" fontId="87" fillId="4" borderId="3" xfId="0" applyNumberFormat="1" applyFont="1" applyFill="1" applyBorder="1" applyAlignment="1">
      <alignment horizontal="center" vertical="center" wrapText="1"/>
    </xf>
    <xf numFmtId="4" fontId="85" fillId="4" borderId="3" xfId="0" applyNumberFormat="1" applyFont="1" applyFill="1" applyBorder="1" applyAlignment="1">
      <alignment horizontal="center" vertical="center" wrapText="1"/>
    </xf>
    <xf numFmtId="0" fontId="87" fillId="0" borderId="0" xfId="0" applyFont="1" applyAlignment="1">
      <alignment horizontal="left"/>
    </xf>
    <xf numFmtId="0" fontId="87" fillId="0" borderId="0" xfId="0" applyFont="1"/>
    <xf numFmtId="0" fontId="85" fillId="16" borderId="27" xfId="0" applyFont="1" applyFill="1" applyBorder="1" applyAlignment="1">
      <alignment horizontal="center" vertical="center" wrapText="1"/>
    </xf>
    <xf numFmtId="0" fontId="85" fillId="16" borderId="3" xfId="0" applyFont="1" applyFill="1" applyBorder="1" applyAlignment="1">
      <alignment horizontal="center" vertical="center" wrapText="1"/>
    </xf>
    <xf numFmtId="0" fontId="85" fillId="16" borderId="5" xfId="0" applyFont="1" applyFill="1" applyBorder="1" applyAlignment="1">
      <alignment horizontal="center" vertical="center" wrapText="1"/>
    </xf>
    <xf numFmtId="4" fontId="85" fillId="16" borderId="4" xfId="0" applyNumberFormat="1" applyFont="1" applyFill="1" applyBorder="1" applyAlignment="1">
      <alignment horizontal="center" vertical="center" wrapText="1"/>
    </xf>
    <xf numFmtId="4" fontId="85" fillId="16" borderId="5" xfId="0" applyNumberFormat="1" applyFont="1" applyFill="1" applyBorder="1" applyAlignment="1">
      <alignment horizontal="center" vertical="center" wrapText="1"/>
    </xf>
    <xf numFmtId="174" fontId="85" fillId="16" borderId="3" xfId="0" applyNumberFormat="1" applyFont="1" applyFill="1" applyBorder="1" applyAlignment="1">
      <alignment horizontal="center" vertical="center" wrapText="1"/>
    </xf>
    <xf numFmtId="174" fontId="85" fillId="16" borderId="5" xfId="0" applyNumberFormat="1" applyFont="1" applyFill="1" applyBorder="1" applyAlignment="1">
      <alignment horizontal="center" vertical="center" wrapText="1"/>
    </xf>
    <xf numFmtId="0" fontId="87" fillId="16" borderId="3" xfId="0" applyFont="1" applyFill="1" applyBorder="1" applyAlignment="1">
      <alignment horizontal="center"/>
    </xf>
    <xf numFmtId="175" fontId="85" fillId="16" borderId="3" xfId="0" applyNumberFormat="1" applyFont="1" applyFill="1" applyBorder="1" applyAlignment="1">
      <alignment horizontal="center" vertical="center" wrapText="1"/>
    </xf>
    <xf numFmtId="174" fontId="87" fillId="16" borderId="3" xfId="0" applyNumberFormat="1" applyFont="1" applyFill="1" applyBorder="1" applyAlignment="1">
      <alignment horizontal="center" vertical="center" wrapText="1"/>
    </xf>
    <xf numFmtId="0" fontId="85" fillId="16" borderId="4" xfId="0" applyFont="1" applyFill="1" applyBorder="1" applyAlignment="1">
      <alignment horizontal="center" vertical="center" wrapText="1"/>
    </xf>
    <xf numFmtId="0" fontId="85" fillId="16" borderId="6" xfId="0" applyFont="1" applyFill="1" applyBorder="1" applyAlignment="1">
      <alignment horizontal="center" vertical="center" wrapText="1"/>
    </xf>
    <xf numFmtId="0" fontId="87" fillId="16" borderId="3" xfId="0" applyFont="1" applyFill="1" applyBorder="1" applyAlignment="1">
      <alignment horizontal="center" vertical="center" wrapText="1"/>
    </xf>
    <xf numFmtId="175" fontId="85" fillId="16" borderId="4" xfId="0" applyNumberFormat="1" applyFont="1" applyFill="1" applyBorder="1" applyAlignment="1">
      <alignment horizontal="center" vertical="center" wrapText="1"/>
    </xf>
    <xf numFmtId="175" fontId="85" fillId="16" borderId="5" xfId="0" applyNumberFormat="1" applyFont="1" applyFill="1" applyBorder="1" applyAlignment="1">
      <alignment horizontal="center" vertical="center" wrapText="1"/>
    </xf>
    <xf numFmtId="4" fontId="85" fillId="16" borderId="3" xfId="0" applyNumberFormat="1" applyFont="1" applyFill="1" applyBorder="1" applyAlignment="1">
      <alignment horizontal="center" vertical="center" wrapText="1"/>
    </xf>
    <xf numFmtId="0" fontId="85" fillId="4" borderId="3" xfId="0" applyFont="1" applyFill="1" applyBorder="1" applyAlignment="1">
      <alignment horizontal="center" vertical="center" wrapText="1"/>
    </xf>
    <xf numFmtId="0" fontId="41" fillId="0" borderId="3" xfId="0" applyFont="1" applyBorder="1" applyAlignment="1">
      <alignment horizontal="left" vertical="center" wrapText="1"/>
    </xf>
    <xf numFmtId="0" fontId="89" fillId="0" borderId="0" xfId="26" applyFont="1"/>
    <xf numFmtId="49" fontId="42" fillId="0" borderId="30" xfId="26" applyNumberFormat="1" applyFont="1" applyBorder="1" applyAlignment="1">
      <alignment horizontal="center"/>
    </xf>
    <xf numFmtId="0" fontId="42" fillId="0" borderId="33" xfId="26" applyFont="1" applyBorder="1" applyAlignment="1">
      <alignment horizontal="center" vertical="top" wrapText="1"/>
    </xf>
    <xf numFmtId="49" fontId="88" fillId="0" borderId="34" xfId="26" applyNumberFormat="1" applyFont="1" applyBorder="1" applyAlignment="1">
      <alignment horizontal="center" vertical="top"/>
    </xf>
    <xf numFmtId="49" fontId="88" fillId="0" borderId="29" xfId="26" applyNumberFormat="1" applyFont="1" applyBorder="1" applyAlignment="1">
      <alignment horizontal="center" vertical="top"/>
    </xf>
    <xf numFmtId="4" fontId="90" fillId="14" borderId="41" xfId="0" applyNumberFormat="1" applyFont="1" applyFill="1" applyBorder="1" applyAlignment="1">
      <alignment horizontal="right"/>
    </xf>
    <xf numFmtId="4" fontId="90" fillId="14" borderId="12" xfId="0" applyNumberFormat="1" applyFont="1" applyFill="1" applyBorder="1" applyAlignment="1">
      <alignment horizontal="right"/>
    </xf>
    <xf numFmtId="4" fontId="90" fillId="0" borderId="12" xfId="0" applyNumberFormat="1" applyFont="1" applyBorder="1" applyAlignment="1">
      <alignment horizontal="right"/>
    </xf>
    <xf numFmtId="4" fontId="90" fillId="14" borderId="41" xfId="26" applyNumberFormat="1" applyFont="1" applyFill="1" applyBorder="1" applyAlignment="1">
      <alignment horizontal="right"/>
    </xf>
    <xf numFmtId="4" fontId="90" fillId="0" borderId="12" xfId="26" applyNumberFormat="1" applyFont="1" applyBorder="1" applyAlignment="1">
      <alignment horizontal="right"/>
    </xf>
    <xf numFmtId="0" fontId="91" fillId="0" borderId="0" xfId="26" applyFont="1"/>
    <xf numFmtId="0" fontId="91" fillId="0" borderId="0" xfId="26" applyFont="1" applyFill="1"/>
    <xf numFmtId="0" fontId="89" fillId="12" borderId="0" xfId="26" applyFont="1" applyFill="1"/>
    <xf numFmtId="0" fontId="92" fillId="0" borderId="0" xfId="0" applyFont="1" applyAlignment="1">
      <alignment horizontal="center" vertical="center"/>
    </xf>
    <xf numFmtId="0" fontId="85" fillId="16" borderId="12" xfId="0" applyFont="1" applyFill="1" applyBorder="1" applyAlignment="1">
      <alignment horizontal="center" vertical="center" wrapText="1"/>
    </xf>
    <xf numFmtId="0" fontId="85" fillId="16" borderId="14" xfId="0" applyFont="1" applyFill="1" applyBorder="1" applyAlignment="1">
      <alignment horizontal="center" vertical="center" wrapText="1"/>
    </xf>
    <xf numFmtId="4" fontId="85" fillId="16" borderId="4" xfId="0" applyNumberFormat="1" applyFont="1" applyFill="1" applyBorder="1" applyAlignment="1">
      <alignment horizontal="center" vertical="center" wrapText="1"/>
    </xf>
    <xf numFmtId="4" fontId="85" fillId="16" borderId="5" xfId="0" applyNumberFormat="1" applyFont="1" applyFill="1" applyBorder="1" applyAlignment="1">
      <alignment horizontal="center" vertical="center" wrapText="1"/>
    </xf>
    <xf numFmtId="0" fontId="85" fillId="16" borderId="30" xfId="0" applyFont="1" applyFill="1" applyBorder="1" applyAlignment="1">
      <alignment horizontal="center" vertical="center" wrapText="1"/>
    </xf>
    <xf numFmtId="0" fontId="85" fillId="16" borderId="27" xfId="0" applyFont="1" applyFill="1" applyBorder="1" applyAlignment="1">
      <alignment horizontal="center" vertical="center" wrapText="1"/>
    </xf>
    <xf numFmtId="175" fontId="85" fillId="16" borderId="4" xfId="0" applyNumberFormat="1" applyFont="1" applyFill="1" applyBorder="1" applyAlignment="1">
      <alignment horizontal="center" vertical="center" wrapText="1"/>
    </xf>
    <xf numFmtId="175" fontId="85" fillId="16" borderId="5" xfId="0" applyNumberFormat="1" applyFont="1" applyFill="1" applyBorder="1" applyAlignment="1">
      <alignment horizontal="center" vertical="center" wrapText="1"/>
    </xf>
    <xf numFmtId="0" fontId="85" fillId="16" borderId="33" xfId="0" applyFont="1" applyFill="1" applyBorder="1" applyAlignment="1">
      <alignment horizontal="center" vertical="center" wrapText="1"/>
    </xf>
    <xf numFmtId="4" fontId="85" fillId="16" borderId="30" xfId="0" applyNumberFormat="1" applyFont="1" applyFill="1" applyBorder="1" applyAlignment="1">
      <alignment horizontal="center" vertical="center" wrapText="1"/>
    </xf>
    <xf numFmtId="4" fontId="85" fillId="16" borderId="33" xfId="0" applyNumberFormat="1" applyFont="1" applyFill="1" applyBorder="1" applyAlignment="1">
      <alignment horizontal="center" vertical="center" wrapText="1"/>
    </xf>
    <xf numFmtId="174" fontId="85" fillId="16" borderId="12" xfId="0" applyNumberFormat="1" applyFont="1" applyFill="1" applyBorder="1" applyAlignment="1">
      <alignment horizontal="center" vertical="center" wrapText="1"/>
    </xf>
    <xf numFmtId="174" fontId="85" fillId="16" borderId="33" xfId="0" applyNumberFormat="1" applyFont="1" applyFill="1" applyBorder="1" applyAlignment="1">
      <alignment horizontal="center" vertical="center" wrapText="1"/>
    </xf>
    <xf numFmtId="4" fontId="86" fillId="4" borderId="12" xfId="0" applyNumberFormat="1" applyFont="1" applyFill="1" applyBorder="1" applyAlignment="1">
      <alignment horizontal="center" vertical="center" wrapText="1"/>
    </xf>
    <xf numFmtId="0" fontId="87" fillId="16" borderId="12" xfId="0" applyFont="1" applyFill="1" applyBorder="1" applyAlignment="1">
      <alignment horizontal="center"/>
    </xf>
    <xf numFmtId="175" fontId="85" fillId="16" borderId="12" xfId="0" applyNumberFormat="1" applyFont="1" applyFill="1" applyBorder="1" applyAlignment="1">
      <alignment horizontal="center" vertical="center" wrapText="1"/>
    </xf>
    <xf numFmtId="175" fontId="85" fillId="4" borderId="12" xfId="0" applyNumberFormat="1" applyFont="1" applyFill="1" applyBorder="1" applyAlignment="1">
      <alignment horizontal="center" vertical="center" wrapText="1"/>
    </xf>
    <xf numFmtId="174" fontId="87" fillId="16" borderId="12" xfId="0" applyNumberFormat="1" applyFont="1" applyFill="1" applyBorder="1" applyAlignment="1">
      <alignment horizontal="center" vertical="center" wrapText="1"/>
    </xf>
    <xf numFmtId="0" fontId="85" fillId="16" borderId="29" xfId="0" applyFont="1" applyFill="1" applyBorder="1" applyAlignment="1">
      <alignment horizontal="center" vertical="center" wrapText="1"/>
    </xf>
    <xf numFmtId="4" fontId="87" fillId="4" borderId="12" xfId="0" applyNumberFormat="1" applyFont="1" applyFill="1" applyBorder="1" applyAlignment="1">
      <alignment horizontal="center" vertical="center" wrapText="1"/>
    </xf>
    <xf numFmtId="0" fontId="87" fillId="4" borderId="12" xfId="0" applyFont="1" applyFill="1" applyBorder="1" applyAlignment="1">
      <alignment horizontal="center" vertical="center" wrapText="1"/>
    </xf>
    <xf numFmtId="175" fontId="87" fillId="4" borderId="12" xfId="0" applyNumberFormat="1" applyFont="1" applyFill="1" applyBorder="1" applyAlignment="1">
      <alignment horizontal="center" vertical="center" wrapText="1"/>
    </xf>
    <xf numFmtId="0" fontId="85" fillId="4" borderId="12" xfId="0" applyFont="1" applyFill="1" applyBorder="1" applyAlignment="1">
      <alignment horizontal="center" vertical="center" wrapText="1"/>
    </xf>
    <xf numFmtId="175" fontId="85" fillId="16" borderId="30" xfId="0" applyNumberFormat="1" applyFont="1" applyFill="1" applyBorder="1" applyAlignment="1">
      <alignment horizontal="center" vertical="center" wrapText="1"/>
    </xf>
    <xf numFmtId="175" fontId="85" fillId="16" borderId="33" xfId="0" applyNumberFormat="1" applyFont="1" applyFill="1" applyBorder="1" applyAlignment="1">
      <alignment horizontal="center" vertical="center" wrapText="1"/>
    </xf>
    <xf numFmtId="4" fontId="85" fillId="4" borderId="12" xfId="0" applyNumberFormat="1" applyFont="1" applyFill="1" applyBorder="1" applyAlignment="1">
      <alignment horizontal="center" vertical="center" wrapText="1"/>
    </xf>
    <xf numFmtId="4" fontId="85" fillId="16" borderId="12" xfId="0" applyNumberFormat="1" applyFont="1" applyFill="1" applyBorder="1" applyAlignment="1">
      <alignment horizontal="center" vertical="center" wrapText="1"/>
    </xf>
    <xf numFmtId="0" fontId="87" fillId="16" borderId="12" xfId="0" applyFont="1" applyFill="1" applyBorder="1" applyAlignment="1">
      <alignment horizontal="center" vertical="center" wrapText="1"/>
    </xf>
    <xf numFmtId="0" fontId="85" fillId="16" borderId="32" xfId="0" applyFont="1" applyFill="1" applyBorder="1" applyAlignment="1">
      <alignment horizontal="center" vertical="center" wrapText="1"/>
    </xf>
    <xf numFmtId="4" fontId="85" fillId="16" borderId="27" xfId="0" applyNumberFormat="1" applyFont="1" applyFill="1" applyBorder="1" applyAlignment="1">
      <alignment horizontal="center" vertical="center" wrapText="1"/>
    </xf>
    <xf numFmtId="4" fontId="85" fillId="16" borderId="32" xfId="0" applyNumberFormat="1" applyFont="1" applyFill="1" applyBorder="1" applyAlignment="1">
      <alignment horizontal="center" vertical="center" wrapText="1"/>
    </xf>
    <xf numFmtId="174" fontId="85" fillId="16" borderId="14" xfId="0" applyNumberFormat="1" applyFont="1" applyFill="1" applyBorder="1" applyAlignment="1">
      <alignment horizontal="center" vertical="center" wrapText="1"/>
    </xf>
    <xf numFmtId="174" fontId="85" fillId="16" borderId="32" xfId="0" applyNumberFormat="1" applyFont="1" applyFill="1" applyBorder="1" applyAlignment="1">
      <alignment horizontal="center" vertical="center" wrapText="1"/>
    </xf>
    <xf numFmtId="4" fontId="86" fillId="4" borderId="14" xfId="0" applyNumberFormat="1" applyFont="1" applyFill="1" applyBorder="1" applyAlignment="1">
      <alignment horizontal="center" vertical="center" wrapText="1"/>
    </xf>
    <xf numFmtId="0" fontId="87" fillId="16" borderId="14" xfId="0" applyFont="1" applyFill="1" applyBorder="1" applyAlignment="1">
      <alignment horizontal="center"/>
    </xf>
    <xf numFmtId="175" fontId="85" fillId="16" borderId="14" xfId="0" applyNumberFormat="1" applyFont="1" applyFill="1" applyBorder="1" applyAlignment="1">
      <alignment horizontal="center" vertical="center" wrapText="1"/>
    </xf>
    <xf numFmtId="175" fontId="85" fillId="4" borderId="14" xfId="0" applyNumberFormat="1" applyFont="1" applyFill="1" applyBorder="1" applyAlignment="1">
      <alignment horizontal="center" vertical="center" wrapText="1"/>
    </xf>
    <xf numFmtId="174" fontId="87" fillId="16" borderId="14" xfId="0" applyNumberFormat="1" applyFont="1" applyFill="1" applyBorder="1" applyAlignment="1">
      <alignment horizontal="center" vertical="center" wrapText="1"/>
    </xf>
    <xf numFmtId="0" fontId="85" fillId="16" borderId="28" xfId="0" applyFont="1" applyFill="1" applyBorder="1" applyAlignment="1">
      <alignment horizontal="center" vertical="center" wrapText="1"/>
    </xf>
    <xf numFmtId="4" fontId="87" fillId="4" borderId="14" xfId="0" applyNumberFormat="1" applyFont="1" applyFill="1" applyBorder="1" applyAlignment="1">
      <alignment horizontal="center" vertical="center" wrapText="1"/>
    </xf>
    <xf numFmtId="0" fontId="87" fillId="4" borderId="14" xfId="0" applyFont="1" applyFill="1" applyBorder="1" applyAlignment="1">
      <alignment horizontal="center" vertical="center" wrapText="1"/>
    </xf>
    <xf numFmtId="175" fontId="87" fillId="4" borderId="14" xfId="0" applyNumberFormat="1" applyFont="1" applyFill="1" applyBorder="1" applyAlignment="1">
      <alignment horizontal="center" vertical="center" wrapText="1"/>
    </xf>
    <xf numFmtId="0" fontId="85" fillId="4" borderId="14" xfId="0" applyFont="1" applyFill="1" applyBorder="1" applyAlignment="1">
      <alignment horizontal="center" vertical="center" wrapText="1"/>
    </xf>
    <xf numFmtId="175" fontId="85" fillId="16" borderId="27" xfId="0" applyNumberFormat="1" applyFont="1" applyFill="1" applyBorder="1" applyAlignment="1">
      <alignment horizontal="center" vertical="center" wrapText="1"/>
    </xf>
    <xf numFmtId="175" fontId="85" fillId="16" borderId="32" xfId="0" applyNumberFormat="1" applyFont="1" applyFill="1" applyBorder="1" applyAlignment="1">
      <alignment horizontal="center" vertical="center" wrapText="1"/>
    </xf>
    <xf numFmtId="4" fontId="85" fillId="4" borderId="14" xfId="0" applyNumberFormat="1" applyFont="1" applyFill="1" applyBorder="1" applyAlignment="1">
      <alignment horizontal="center" vertical="center" wrapText="1"/>
    </xf>
    <xf numFmtId="4" fontId="85" fillId="16" borderId="14" xfId="0" applyNumberFormat="1" applyFont="1" applyFill="1" applyBorder="1" applyAlignment="1">
      <alignment horizontal="center" vertical="center" wrapText="1"/>
    </xf>
    <xf numFmtId="0" fontId="87" fillId="16" borderId="14" xfId="0" applyFont="1" applyFill="1" applyBorder="1" applyAlignment="1">
      <alignment horizontal="center" vertical="center" wrapText="1"/>
    </xf>
    <xf numFmtId="0" fontId="85" fillId="16" borderId="50" xfId="0" applyFont="1" applyFill="1" applyBorder="1" applyAlignment="1">
      <alignment horizontal="center" vertical="center" wrapText="1"/>
    </xf>
    <xf numFmtId="0" fontId="85" fillId="16" borderId="51" xfId="0" applyFont="1" applyFill="1" applyBorder="1" applyAlignment="1">
      <alignment horizontal="center" vertical="center" wrapText="1"/>
    </xf>
    <xf numFmtId="0" fontId="85" fillId="16" borderId="53" xfId="0" applyFont="1" applyFill="1" applyBorder="1" applyAlignment="1">
      <alignment horizontal="center" vertical="center" wrapText="1"/>
    </xf>
    <xf numFmtId="4" fontId="85" fillId="16" borderId="54" xfId="0" applyNumberFormat="1" applyFont="1" applyFill="1" applyBorder="1" applyAlignment="1">
      <alignment horizontal="center" vertical="center" wrapText="1"/>
    </xf>
    <xf numFmtId="4" fontId="85" fillId="16" borderId="51" xfId="0" applyNumberFormat="1" applyFont="1" applyFill="1" applyBorder="1" applyAlignment="1">
      <alignment horizontal="center" vertical="center" wrapText="1"/>
    </xf>
    <xf numFmtId="174" fontId="85" fillId="16" borderId="53" xfId="0" applyNumberFormat="1" applyFont="1" applyFill="1" applyBorder="1" applyAlignment="1">
      <alignment horizontal="center" vertical="center" wrapText="1"/>
    </xf>
    <xf numFmtId="174" fontId="85" fillId="16" borderId="51" xfId="0" applyNumberFormat="1" applyFont="1" applyFill="1" applyBorder="1" applyAlignment="1">
      <alignment horizontal="center" vertical="center" wrapText="1"/>
    </xf>
    <xf numFmtId="4" fontId="86" fillId="4" borderId="53" xfId="0" applyNumberFormat="1" applyFont="1" applyFill="1" applyBorder="1" applyAlignment="1">
      <alignment horizontal="center" vertical="center" wrapText="1"/>
    </xf>
    <xf numFmtId="0" fontId="87" fillId="16" borderId="53" xfId="0" applyFont="1" applyFill="1" applyBorder="1" applyAlignment="1">
      <alignment horizontal="center"/>
    </xf>
    <xf numFmtId="175" fontId="85" fillId="16" borderId="53" xfId="0" applyNumberFormat="1" applyFont="1" applyFill="1" applyBorder="1" applyAlignment="1">
      <alignment horizontal="center" vertical="center" wrapText="1"/>
    </xf>
    <xf numFmtId="175" fontId="85" fillId="4" borderId="53" xfId="0" applyNumberFormat="1" applyFont="1" applyFill="1" applyBorder="1" applyAlignment="1">
      <alignment horizontal="center" vertical="center" wrapText="1"/>
    </xf>
    <xf numFmtId="174" fontId="87" fillId="16" borderId="53" xfId="0" applyNumberFormat="1" applyFont="1" applyFill="1" applyBorder="1" applyAlignment="1">
      <alignment horizontal="center" vertical="center" wrapText="1"/>
    </xf>
    <xf numFmtId="0" fontId="85" fillId="16" borderId="54" xfId="0" applyFont="1" applyFill="1" applyBorder="1" applyAlignment="1">
      <alignment horizontal="center" vertical="center" wrapText="1"/>
    </xf>
    <xf numFmtId="0" fontId="85" fillId="16" borderId="55" xfId="0" applyFont="1" applyFill="1" applyBorder="1" applyAlignment="1">
      <alignment horizontal="center" vertical="center" wrapText="1"/>
    </xf>
    <xf numFmtId="4" fontId="87" fillId="4" borderId="53" xfId="0" applyNumberFormat="1" applyFont="1" applyFill="1" applyBorder="1" applyAlignment="1">
      <alignment horizontal="center" vertical="center" wrapText="1"/>
    </xf>
    <xf numFmtId="0" fontId="87" fillId="4" borderId="53" xfId="0" applyFont="1" applyFill="1" applyBorder="1" applyAlignment="1">
      <alignment horizontal="center" vertical="center" wrapText="1"/>
    </xf>
    <xf numFmtId="175" fontId="87" fillId="4" borderId="53" xfId="0" applyNumberFormat="1" applyFont="1" applyFill="1" applyBorder="1" applyAlignment="1">
      <alignment horizontal="center" vertical="center" wrapText="1"/>
    </xf>
    <xf numFmtId="0" fontId="85" fillId="4" borderId="53" xfId="0" applyFont="1" applyFill="1" applyBorder="1" applyAlignment="1">
      <alignment horizontal="center" vertical="center" wrapText="1"/>
    </xf>
    <xf numFmtId="175" fontId="85" fillId="16" borderId="54" xfId="0" applyNumberFormat="1" applyFont="1" applyFill="1" applyBorder="1" applyAlignment="1">
      <alignment horizontal="center" vertical="center" wrapText="1"/>
    </xf>
    <xf numFmtId="175" fontId="85" fillId="16" borderId="51" xfId="0" applyNumberFormat="1" applyFont="1" applyFill="1" applyBorder="1" applyAlignment="1">
      <alignment horizontal="center" vertical="center" wrapText="1"/>
    </xf>
    <xf numFmtId="4" fontId="85" fillId="4" borderId="53" xfId="0" applyNumberFormat="1" applyFont="1" applyFill="1" applyBorder="1" applyAlignment="1">
      <alignment horizontal="center" vertical="center" wrapText="1"/>
    </xf>
    <xf numFmtId="4" fontId="85" fillId="16" borderId="53" xfId="0" applyNumberFormat="1" applyFont="1" applyFill="1" applyBorder="1" applyAlignment="1">
      <alignment horizontal="center" vertical="center" wrapText="1"/>
    </xf>
    <xf numFmtId="0" fontId="87" fillId="16" borderId="52" xfId="0" applyFont="1" applyFill="1" applyBorder="1" applyAlignment="1">
      <alignment horizontal="center" vertical="center" wrapText="1"/>
    </xf>
    <xf numFmtId="0" fontId="87" fillId="16" borderId="53" xfId="0" applyFont="1" applyFill="1" applyBorder="1" applyAlignment="1">
      <alignment horizontal="center" vertical="center" wrapText="1"/>
    </xf>
    <xf numFmtId="174" fontId="87" fillId="16" borderId="37" xfId="0" applyNumberFormat="1" applyFont="1" applyFill="1" applyBorder="1" applyAlignment="1">
      <alignment horizontal="center" vertical="center" wrapText="1"/>
    </xf>
    <xf numFmtId="174" fontId="87" fillId="16" borderId="56" xfId="0" applyNumberFormat="1" applyFont="1" applyFill="1" applyBorder="1" applyAlignment="1">
      <alignment horizontal="center" vertical="center" wrapText="1"/>
    </xf>
    <xf numFmtId="4" fontId="87" fillId="16" borderId="52" xfId="0" applyNumberFormat="1" applyFont="1" applyFill="1" applyBorder="1" applyAlignment="1">
      <alignment horizontal="center" vertical="center" wrapText="1"/>
    </xf>
    <xf numFmtId="4" fontId="87" fillId="16" borderId="3" xfId="0" applyNumberFormat="1" applyFont="1" applyFill="1" applyBorder="1" applyAlignment="1">
      <alignment horizontal="center" vertical="center" wrapText="1"/>
    </xf>
    <xf numFmtId="4" fontId="87" fillId="16" borderId="53" xfId="0" applyNumberFormat="1" applyFont="1" applyFill="1" applyBorder="1" applyAlignment="1">
      <alignment horizontal="center" vertical="center" wrapText="1"/>
    </xf>
    <xf numFmtId="0" fontId="9" fillId="0" borderId="0" xfId="0" applyFont="1" applyAlignment="1">
      <alignment horizontal="center"/>
    </xf>
    <xf numFmtId="0" fontId="11" fillId="3" borderId="3" xfId="0" applyFont="1" applyFill="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174" fontId="10" fillId="0" borderId="3" xfId="0" applyNumberFormat="1" applyFont="1" applyBorder="1" applyAlignment="1">
      <alignment horizontal="center" vertical="center" wrapText="1"/>
    </xf>
    <xf numFmtId="0" fontId="9" fillId="0" borderId="0" xfId="0" applyFont="1" applyAlignment="1">
      <alignment horizontal="left" wrapText="1"/>
    </xf>
    <xf numFmtId="0" fontId="56" fillId="0" borderId="0" xfId="0" applyFont="1" applyAlignment="1">
      <alignment horizontal="left" wrapText="1"/>
    </xf>
    <xf numFmtId="0" fontId="12" fillId="0" borderId="3" xfId="26" applyFont="1" applyBorder="1" applyAlignment="1">
      <alignment horizontal="center"/>
    </xf>
    <xf numFmtId="0" fontId="14" fillId="0" borderId="3" xfId="26" applyFont="1" applyBorder="1" applyAlignment="1">
      <alignment horizontal="center" vertical="center"/>
    </xf>
    <xf numFmtId="0" fontId="14" fillId="0" borderId="3" xfId="26"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4" fontId="10" fillId="0" borderId="4" xfId="0" applyNumberFormat="1" applyFont="1" applyBorder="1" applyAlignment="1">
      <alignment horizontal="center" vertical="center" wrapText="1"/>
    </xf>
    <xf numFmtId="4" fontId="10" fillId="0" borderId="5" xfId="0" applyNumberFormat="1" applyFont="1" applyBorder="1" applyAlignment="1">
      <alignment horizontal="center" vertical="center" wrapText="1"/>
    </xf>
    <xf numFmtId="174" fontId="10" fillId="0" borderId="4" xfId="0" applyNumberFormat="1" applyFont="1" applyBorder="1" applyAlignment="1">
      <alignment horizontal="center" vertical="center" wrapText="1"/>
    </xf>
    <xf numFmtId="174" fontId="10" fillId="0" borderId="5" xfId="0" applyNumberFormat="1" applyFont="1" applyBorder="1" applyAlignment="1">
      <alignment horizontal="center" vertical="center" wrapText="1"/>
    </xf>
    <xf numFmtId="0" fontId="10" fillId="0" borderId="5" xfId="0" applyFont="1" applyBorder="1" applyAlignment="1">
      <alignment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4" xfId="0" applyFont="1" applyBorder="1" applyAlignment="1">
      <alignment horizontal="center" vertical="center" wrapText="1"/>
    </xf>
    <xf numFmtId="175" fontId="17"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0" fillId="0" borderId="4" xfId="0" applyFont="1" applyBorder="1" applyAlignment="1">
      <alignment vertical="center" wrapText="1"/>
    </xf>
    <xf numFmtId="175" fontId="10" fillId="0" borderId="4" xfId="0" applyNumberFormat="1" applyFont="1" applyBorder="1" applyAlignment="1">
      <alignment horizontal="center" vertical="center" wrapText="1"/>
    </xf>
    <xf numFmtId="175" fontId="10" fillId="0" borderId="5" xfId="0" applyNumberFormat="1" applyFont="1" applyBorder="1" applyAlignment="1">
      <alignment horizontal="center" vertical="center" wrapText="1"/>
    </xf>
    <xf numFmtId="175" fontId="10"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0" fillId="4" borderId="3" xfId="0" applyFont="1" applyFill="1" applyBorder="1" applyAlignment="1">
      <alignment horizontal="left" vertical="center" wrapText="1"/>
    </xf>
    <xf numFmtId="0" fontId="18" fillId="4"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50" fillId="4" borderId="3" xfId="0" applyFont="1" applyFill="1" applyBorder="1" applyAlignment="1">
      <alignment horizontal="center" vertical="center" wrapText="1"/>
    </xf>
    <xf numFmtId="175" fontId="10" fillId="4" borderId="4" xfId="0" applyNumberFormat="1" applyFont="1" applyFill="1" applyBorder="1" applyAlignment="1">
      <alignment horizontal="center" vertical="center" wrapText="1"/>
    </xf>
    <xf numFmtId="175" fontId="10" fillId="4" borderId="5" xfId="0" applyNumberFormat="1" applyFont="1" applyFill="1" applyBorder="1" applyAlignment="1">
      <alignment horizontal="center" vertical="center" wrapText="1"/>
    </xf>
    <xf numFmtId="175" fontId="10"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18" fillId="0" borderId="3" xfId="0" applyFont="1" applyBorder="1" applyAlignment="1">
      <alignment horizontal="center" vertical="center" wrapText="1"/>
    </xf>
    <xf numFmtId="175" fontId="10" fillId="0" borderId="6" xfId="0" applyNumberFormat="1" applyFont="1" applyBorder="1" applyAlignment="1">
      <alignment horizontal="center"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5" fontId="85" fillId="16" borderId="4" xfId="0" applyNumberFormat="1" applyFont="1" applyFill="1" applyBorder="1" applyAlignment="1">
      <alignment horizontal="center" vertical="center" wrapText="1"/>
    </xf>
    <xf numFmtId="175" fontId="85" fillId="16" borderId="5" xfId="0" applyNumberFormat="1" applyFont="1" applyFill="1" applyBorder="1" applyAlignment="1">
      <alignment horizontal="center" vertical="center" wrapText="1"/>
    </xf>
    <xf numFmtId="174" fontId="10" fillId="4" borderId="3" xfId="0" applyNumberFormat="1" applyFont="1" applyFill="1" applyBorder="1" applyAlignment="1">
      <alignment horizontal="center" vertical="center" wrapText="1"/>
    </xf>
    <xf numFmtId="0" fontId="10" fillId="0" borderId="3" xfId="0" applyFont="1" applyBorder="1" applyAlignment="1">
      <alignment horizontal="left" vertical="center" wrapText="1"/>
    </xf>
    <xf numFmtId="0" fontId="10" fillId="4" borderId="3" xfId="0" applyFont="1" applyFill="1" applyBorder="1" applyAlignment="1">
      <alignment vertical="center" wrapText="1"/>
    </xf>
    <xf numFmtId="4" fontId="17" fillId="4" borderId="3"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4" fontId="10" fillId="4" borderId="5" xfId="0" applyNumberFormat="1"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175" fontId="18" fillId="0" borderId="4" xfId="0" applyNumberFormat="1" applyFont="1" applyBorder="1" applyAlignment="1">
      <alignment horizontal="center" vertical="center" wrapText="1"/>
    </xf>
    <xf numFmtId="175" fontId="18" fillId="0" borderId="5" xfId="0" applyNumberFormat="1" applyFont="1" applyBorder="1" applyAlignment="1">
      <alignment horizontal="center" vertical="center" wrapText="1"/>
    </xf>
    <xf numFmtId="0" fontId="10" fillId="0" borderId="2" xfId="0" applyFont="1" applyBorder="1" applyAlignment="1">
      <alignment horizontal="center" vertical="center"/>
    </xf>
    <xf numFmtId="49"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174" fontId="18" fillId="0" borderId="3" xfId="0" applyNumberFormat="1" applyFont="1" applyBorder="1" applyAlignment="1">
      <alignment horizontal="center" vertical="center" wrapText="1"/>
    </xf>
    <xf numFmtId="0" fontId="85" fillId="16" borderId="12" xfId="0" applyFont="1" applyFill="1" applyBorder="1" applyAlignment="1">
      <alignment horizontal="center" vertical="center" wrapText="1"/>
    </xf>
    <xf numFmtId="0" fontId="85" fillId="16" borderId="13" xfId="0" applyFont="1" applyFill="1" applyBorder="1" applyAlignment="1">
      <alignment horizontal="center" vertical="center" wrapText="1"/>
    </xf>
    <xf numFmtId="0" fontId="85" fillId="16" borderId="14" xfId="0" applyFont="1" applyFill="1" applyBorder="1" applyAlignment="1">
      <alignment horizontal="center" vertical="center" wrapText="1"/>
    </xf>
    <xf numFmtId="4" fontId="85" fillId="16" borderId="4" xfId="0" applyNumberFormat="1" applyFont="1" applyFill="1" applyBorder="1" applyAlignment="1">
      <alignment horizontal="center" vertical="center" wrapText="1"/>
    </xf>
    <xf numFmtId="4" fontId="85" fillId="16" borderId="5" xfId="0" applyNumberFormat="1" applyFont="1" applyFill="1" applyBorder="1" applyAlignment="1">
      <alignment horizontal="center" vertical="center" wrapText="1"/>
    </xf>
    <xf numFmtId="0" fontId="85" fillId="16" borderId="30" xfId="0" applyFont="1" applyFill="1" applyBorder="1" applyAlignment="1">
      <alignment horizontal="center" vertical="center" wrapText="1"/>
    </xf>
    <xf numFmtId="0" fontId="85" fillId="16" borderId="7" xfId="0" applyFont="1" applyFill="1" applyBorder="1" applyAlignment="1">
      <alignment horizontal="center" vertical="center" wrapText="1"/>
    </xf>
    <xf numFmtId="0" fontId="85" fillId="16" borderId="27" xfId="0" applyFont="1" applyFill="1" applyBorder="1" applyAlignment="1">
      <alignment horizontal="center" vertical="center" wrapText="1"/>
    </xf>
    <xf numFmtId="0" fontId="85" fillId="16" borderId="47" xfId="0" applyFont="1" applyFill="1" applyBorder="1" applyAlignment="1">
      <alignment horizontal="center" vertical="center" wrapText="1"/>
    </xf>
    <xf numFmtId="0" fontId="85" fillId="16" borderId="48" xfId="0" applyFont="1" applyFill="1" applyBorder="1" applyAlignment="1">
      <alignment horizontal="center" vertical="center" wrapText="1"/>
    </xf>
    <xf numFmtId="0" fontId="85" fillId="16" borderId="49" xfId="0" applyFont="1" applyFill="1" applyBorder="1" applyAlignment="1">
      <alignment horizontal="center" vertical="center" wrapText="1"/>
    </xf>
    <xf numFmtId="0" fontId="26" fillId="0" borderId="0" xfId="26" applyFont="1" applyAlignment="1">
      <alignment horizontal="center"/>
    </xf>
    <xf numFmtId="0" fontId="25" fillId="0" borderId="3" xfId="26" applyFont="1" applyBorder="1" applyAlignment="1">
      <alignment horizontal="center" vertical="center"/>
    </xf>
    <xf numFmtId="0" fontId="25" fillId="0" borderId="3" xfId="26" applyFont="1" applyBorder="1" applyAlignment="1">
      <alignment horizontal="center" vertical="center" wrapText="1"/>
    </xf>
    <xf numFmtId="0" fontId="24" fillId="0" borderId="0" xfId="26" applyFont="1" applyAlignment="1">
      <alignment horizontal="center"/>
    </xf>
    <xf numFmtId="0" fontId="25" fillId="0" borderId="4" xfId="26" applyFont="1" applyBorder="1" applyAlignment="1">
      <alignment horizontal="center" vertical="center"/>
    </xf>
    <xf numFmtId="0" fontId="25" fillId="0" borderId="8" xfId="26" applyFont="1" applyBorder="1" applyAlignment="1">
      <alignment horizontal="center" vertical="center"/>
    </xf>
    <xf numFmtId="49" fontId="25" fillId="0" borderId="0" xfId="26" applyNumberFormat="1" applyFont="1" applyAlignment="1">
      <alignment horizontal="center" wrapText="1"/>
    </xf>
    <xf numFmtId="49" fontId="25" fillId="0" borderId="2" xfId="26" applyNumberFormat="1" applyFont="1" applyBorder="1" applyAlignment="1">
      <alignment horizontal="left" wrapText="1"/>
    </xf>
    <xf numFmtId="49" fontId="22" fillId="0" borderId="2" xfId="26" applyNumberFormat="1" applyFont="1" applyBorder="1" applyAlignment="1">
      <alignment horizontal="center" wrapText="1"/>
    </xf>
    <xf numFmtId="0" fontId="23" fillId="0" borderId="7" xfId="26" applyFont="1" applyBorder="1" applyAlignment="1">
      <alignment horizontal="center" vertical="top" wrapText="1"/>
    </xf>
    <xf numFmtId="0" fontId="22" fillId="0" borderId="0" xfId="26" applyFont="1" applyAlignment="1">
      <alignment horizontal="left" wrapText="1"/>
    </xf>
    <xf numFmtId="49" fontId="22" fillId="0" borderId="0" xfId="26" applyNumberFormat="1" applyFont="1" applyAlignment="1">
      <alignment horizontal="left"/>
    </xf>
    <xf numFmtId="0" fontId="22" fillId="0" borderId="0" xfId="26" applyFont="1" applyAlignment="1">
      <alignment horizontal="center"/>
    </xf>
    <xf numFmtId="0" fontId="22" fillId="0" borderId="0" xfId="26" applyFont="1" applyAlignment="1">
      <alignment horizontal="center" vertical="top" wrapText="1"/>
    </xf>
    <xf numFmtId="0" fontId="22" fillId="0" borderId="0" xfId="26" applyFont="1" applyAlignment="1">
      <alignment horizontal="center" wrapText="1"/>
    </xf>
    <xf numFmtId="0" fontId="22" fillId="0" borderId="2" xfId="26" applyFont="1" applyBorder="1" applyAlignment="1">
      <alignment horizontal="center" wrapText="1"/>
    </xf>
    <xf numFmtId="0" fontId="29" fillId="0" borderId="21" xfId="26" applyFont="1" applyBorder="1" applyAlignment="1">
      <alignment horizontal="center" vertical="top"/>
    </xf>
    <xf numFmtId="0" fontId="29" fillId="0" borderId="7" xfId="26" applyFont="1" applyBorder="1" applyAlignment="1">
      <alignment horizontal="center" vertical="top"/>
    </xf>
    <xf numFmtId="0" fontId="29" fillId="0" borderId="22" xfId="26" applyFont="1" applyBorder="1" applyAlignment="1">
      <alignment horizontal="center" vertical="top"/>
    </xf>
    <xf numFmtId="0" fontId="29" fillId="0" borderId="19" xfId="26" applyFont="1" applyBorder="1" applyAlignment="1">
      <alignment horizontal="center"/>
    </xf>
    <xf numFmtId="0" fontId="29" fillId="0" borderId="2" xfId="26" applyFont="1" applyBorder="1" applyAlignment="1">
      <alignment horizontal="center"/>
    </xf>
    <xf numFmtId="0" fontId="29" fillId="0" borderId="20" xfId="26" applyFont="1" applyBorder="1" applyAlignment="1">
      <alignment horizontal="center"/>
    </xf>
    <xf numFmtId="0" fontId="23" fillId="0" borderId="21" xfId="26" applyFont="1" applyBorder="1" applyAlignment="1">
      <alignment horizontal="center" vertical="top"/>
    </xf>
    <xf numFmtId="0" fontId="23" fillId="0" borderId="7" xfId="26" applyFont="1" applyBorder="1" applyAlignment="1">
      <alignment horizontal="center" vertical="top"/>
    </xf>
    <xf numFmtId="0" fontId="23" fillId="0" borderId="22" xfId="26" applyFont="1" applyBorder="1" applyAlignment="1">
      <alignment horizontal="center" vertical="top"/>
    </xf>
    <xf numFmtId="0" fontId="29" fillId="0" borderId="17" xfId="26" applyFont="1" applyBorder="1" applyAlignment="1">
      <alignment horizontal="right"/>
    </xf>
    <xf numFmtId="0" fontId="29" fillId="0" borderId="0" xfId="26" applyFont="1" applyAlignment="1">
      <alignment horizontal="right"/>
    </xf>
    <xf numFmtId="49" fontId="29" fillId="0" borderId="2" xfId="26" applyNumberFormat="1" applyFont="1" applyBorder="1" applyAlignment="1">
      <alignment horizontal="center"/>
    </xf>
    <xf numFmtId="0" fontId="29" fillId="0" borderId="0" xfId="26" applyFont="1" applyAlignment="1">
      <alignment horizontal="left"/>
    </xf>
    <xf numFmtId="49" fontId="29" fillId="0" borderId="2" xfId="26" applyNumberFormat="1" applyFont="1" applyBorder="1" applyAlignment="1">
      <alignment horizontal="left"/>
    </xf>
    <xf numFmtId="0" fontId="25" fillId="0" borderId="0" xfId="26" applyFont="1" applyAlignment="1">
      <alignment horizontal="right"/>
    </xf>
    <xf numFmtId="49" fontId="25" fillId="0" borderId="2" xfId="26" applyNumberFormat="1" applyFont="1" applyBorder="1" applyAlignment="1">
      <alignment horizontal="center"/>
    </xf>
    <xf numFmtId="0" fontId="25" fillId="0" borderId="0" xfId="26" applyFont="1" applyAlignment="1">
      <alignment horizontal="left"/>
    </xf>
    <xf numFmtId="0" fontId="25" fillId="0" borderId="2" xfId="26" applyFont="1" applyBorder="1" applyAlignment="1">
      <alignment horizontal="right"/>
    </xf>
    <xf numFmtId="0" fontId="15" fillId="0" borderId="2" xfId="26" applyFont="1" applyBorder="1"/>
    <xf numFmtId="49" fontId="25" fillId="0" borderId="3" xfId="26" applyNumberFormat="1" applyFont="1" applyBorder="1" applyAlignment="1">
      <alignment horizontal="center"/>
    </xf>
    <xf numFmtId="0" fontId="14" fillId="0" borderId="3" xfId="26" applyFont="1" applyBorder="1" applyAlignment="1">
      <alignment horizontal="left" wrapText="1" indent="1"/>
    </xf>
    <xf numFmtId="0" fontId="14" fillId="0" borderId="3" xfId="26" applyFont="1" applyBorder="1" applyAlignment="1">
      <alignment horizontal="left" indent="1"/>
    </xf>
    <xf numFmtId="49" fontId="14" fillId="0" borderId="3" xfId="26" applyNumberFormat="1" applyFont="1" applyBorder="1" applyAlignment="1">
      <alignment horizontal="center"/>
    </xf>
    <xf numFmtId="0" fontId="25" fillId="0" borderId="2" xfId="26" applyFont="1" applyBorder="1" applyAlignment="1">
      <alignment horizontal="center"/>
    </xf>
    <xf numFmtId="49" fontId="27" fillId="0" borderId="3" xfId="26" applyNumberFormat="1" applyFont="1" applyBorder="1" applyAlignment="1">
      <alignment horizontal="center"/>
    </xf>
    <xf numFmtId="0" fontId="27" fillId="0" borderId="12" xfId="26" applyFont="1" applyBorder="1" applyAlignment="1">
      <alignment horizontal="left" wrapText="1"/>
    </xf>
    <xf numFmtId="0" fontId="27" fillId="0" borderId="13" xfId="26" applyFont="1" applyBorder="1" applyAlignment="1">
      <alignment horizontal="left" wrapText="1"/>
    </xf>
    <xf numFmtId="0" fontId="27" fillId="0" borderId="14" xfId="26" applyFont="1" applyBorder="1" applyAlignment="1">
      <alignment horizontal="left" wrapText="1"/>
    </xf>
    <xf numFmtId="49" fontId="12" fillId="0" borderId="3" xfId="26" applyNumberFormat="1" applyFont="1" applyBorder="1" applyAlignment="1">
      <alignment horizontal="center"/>
    </xf>
    <xf numFmtId="0" fontId="25" fillId="0" borderId="3" xfId="26" applyFont="1" applyBorder="1" applyAlignment="1">
      <alignment horizontal="left" wrapText="1" indent="1"/>
    </xf>
    <xf numFmtId="0" fontId="25" fillId="0" borderId="3" xfId="26" applyFont="1" applyBorder="1" applyAlignment="1">
      <alignment horizontal="left" indent="1"/>
    </xf>
    <xf numFmtId="0" fontId="27" fillId="0" borderId="3" xfId="26" applyFont="1" applyBorder="1" applyAlignment="1">
      <alignment horizontal="left"/>
    </xf>
    <xf numFmtId="176" fontId="25" fillId="0" borderId="3" xfId="26" applyNumberFormat="1" applyFont="1" applyBorder="1" applyAlignment="1">
      <alignment horizontal="left" wrapText="1" indent="1"/>
    </xf>
    <xf numFmtId="0" fontId="12" fillId="0" borderId="0" xfId="26" applyFont="1" applyAlignment="1">
      <alignment horizontal="center"/>
    </xf>
    <xf numFmtId="49" fontId="25" fillId="0" borderId="3" xfId="26" applyNumberFormat="1" applyFont="1" applyBorder="1" applyAlignment="1">
      <alignment horizontal="center" vertical="top"/>
    </xf>
    <xf numFmtId="0" fontId="10" fillId="0" borderId="0" xfId="0" applyFont="1" applyAlignment="1">
      <alignment horizontal="center" vertical="top" wrapText="1"/>
    </xf>
    <xf numFmtId="0" fontId="34" fillId="0" borderId="0" xfId="0" applyFont="1" applyAlignment="1">
      <alignment horizontal="center" wrapText="1"/>
    </xf>
    <xf numFmtId="0" fontId="10" fillId="0" borderId="0" xfId="0" applyFont="1" applyAlignment="1">
      <alignment horizontal="center" vertical="center" wrapText="1"/>
    </xf>
    <xf numFmtId="0" fontId="35" fillId="0" borderId="0" xfId="0" applyFont="1" applyAlignment="1">
      <alignment horizontal="center" wrapText="1"/>
    </xf>
    <xf numFmtId="0" fontId="10" fillId="0" borderId="0" xfId="0" applyFont="1" applyAlignment="1">
      <alignment horizontal="left" wrapText="1"/>
    </xf>
    <xf numFmtId="0" fontId="10" fillId="0" borderId="6" xfId="0" applyFont="1" applyBorder="1" applyAlignment="1">
      <alignment vertical="center" wrapText="1"/>
    </xf>
    <xf numFmtId="0" fontId="30" fillId="0" borderId="3" xfId="0" applyFont="1" applyBorder="1" applyAlignment="1">
      <alignment horizontal="center" vertical="center" wrapText="1"/>
    </xf>
    <xf numFmtId="2" fontId="10" fillId="0" borderId="3" xfId="0" applyNumberFormat="1" applyFont="1" applyBorder="1" applyAlignment="1">
      <alignment horizontal="center" vertical="center" wrapText="1"/>
    </xf>
    <xf numFmtId="175" fontId="10" fillId="0" borderId="27" xfId="0" applyNumberFormat="1" applyFont="1" applyBorder="1" applyAlignment="1">
      <alignment horizontal="center" vertical="center" wrapText="1"/>
    </xf>
    <xf numFmtId="175" fontId="10" fillId="0" borderId="28" xfId="0" applyNumberFormat="1" applyFont="1" applyBorder="1" applyAlignment="1">
      <alignment horizontal="center" vertical="center" wrapText="1"/>
    </xf>
    <xf numFmtId="0" fontId="10" fillId="0" borderId="6" xfId="0" applyFont="1" applyBorder="1" applyAlignment="1">
      <alignment horizontal="left" vertical="center" wrapText="1"/>
    </xf>
    <xf numFmtId="0" fontId="10" fillId="0" borderId="6" xfId="0" applyFont="1" applyBorder="1" applyAlignment="1">
      <alignment horizontal="center" vertical="center" wrapText="1"/>
    </xf>
    <xf numFmtId="2" fontId="10" fillId="0" borderId="4" xfId="0" applyNumberFormat="1" applyFont="1" applyBorder="1" applyAlignment="1">
      <alignment horizontal="center" vertical="center" wrapText="1"/>
    </xf>
    <xf numFmtId="2" fontId="10" fillId="0" borderId="6" xfId="0" applyNumberFormat="1" applyFont="1" applyBorder="1" applyAlignment="1">
      <alignment horizontal="center" vertical="center" wrapText="1"/>
    </xf>
    <xf numFmtId="2" fontId="10" fillId="0" borderId="5" xfId="0" applyNumberFormat="1" applyFont="1" applyBorder="1" applyAlignment="1">
      <alignment horizontal="center" vertical="center" wrapText="1"/>
    </xf>
    <xf numFmtId="0" fontId="10" fillId="0" borderId="30"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2" fontId="10" fillId="0" borderId="4" xfId="0" applyNumberFormat="1" applyFont="1" applyBorder="1" applyAlignment="1">
      <alignment horizontal="center" vertical="center"/>
    </xf>
    <xf numFmtId="2" fontId="10" fillId="0" borderId="6" xfId="0" applyNumberFormat="1" applyFont="1" applyBorder="1" applyAlignment="1">
      <alignment horizontal="center" vertical="center"/>
    </xf>
    <xf numFmtId="0" fontId="10" fillId="0" borderId="26" xfId="0" applyFont="1" applyBorder="1" applyAlignment="1">
      <alignment horizontal="center" vertical="center" wrapText="1"/>
    </xf>
    <xf numFmtId="0" fontId="23" fillId="0" borderId="0" xfId="26" applyFont="1" applyAlignment="1">
      <alignment horizontal="center" vertical="top"/>
    </xf>
    <xf numFmtId="49" fontId="28" fillId="0" borderId="2" xfId="26" applyNumberFormat="1" applyFont="1" applyBorder="1" applyAlignment="1">
      <alignment horizontal="center"/>
    </xf>
    <xf numFmtId="49" fontId="14" fillId="0" borderId="2" xfId="26" applyNumberFormat="1" applyFont="1" applyBorder="1" applyAlignment="1">
      <alignment horizontal="center"/>
    </xf>
    <xf numFmtId="0" fontId="15" fillId="0" borderId="3" xfId="26" applyFont="1" applyBorder="1" applyAlignment="1">
      <alignment horizontal="left" wrapText="1" indent="1"/>
    </xf>
    <xf numFmtId="0" fontId="15" fillId="0" borderId="3" xfId="26" applyFont="1" applyBorder="1" applyAlignment="1">
      <alignment horizontal="left" indent="1"/>
    </xf>
    <xf numFmtId="0" fontId="16" fillId="0" borderId="3" xfId="26" applyFont="1" applyBorder="1" applyAlignment="1">
      <alignment horizontal="left" wrapText="1"/>
    </xf>
    <xf numFmtId="49" fontId="25" fillId="5" borderId="3" xfId="26" applyNumberFormat="1" applyFont="1" applyFill="1" applyBorder="1" applyAlignment="1">
      <alignment horizontal="center"/>
    </xf>
    <xf numFmtId="0" fontId="16" fillId="0" borderId="3" xfId="26" applyFont="1" applyBorder="1" applyAlignment="1">
      <alignment horizontal="left"/>
    </xf>
    <xf numFmtId="176" fontId="15" fillId="0" borderId="3" xfId="26" applyNumberFormat="1" applyFont="1" applyBorder="1" applyAlignment="1">
      <alignment horizontal="left" wrapText="1" indent="1"/>
    </xf>
    <xf numFmtId="0" fontId="40" fillId="0" borderId="0" xfId="0" applyFont="1" applyAlignment="1">
      <alignment horizontal="left"/>
    </xf>
    <xf numFmtId="0" fontId="7" fillId="0" borderId="2" xfId="0" applyFont="1" applyBorder="1" applyAlignment="1">
      <alignment horizontal="left"/>
    </xf>
    <xf numFmtId="0" fontId="66" fillId="0" borderId="2" xfId="0" applyFont="1" applyBorder="1" applyAlignment="1">
      <alignment horizontal="left"/>
    </xf>
    <xf numFmtId="4" fontId="42" fillId="0" borderId="3" xfId="0" applyNumberFormat="1" applyFont="1" applyFill="1" applyBorder="1" applyAlignment="1">
      <alignment horizontal="center" vertical="top" wrapText="1"/>
    </xf>
    <xf numFmtId="0" fontId="42" fillId="0" borderId="3" xfId="0" applyFont="1" applyFill="1" applyBorder="1" applyAlignment="1">
      <alignment horizontal="left" vertical="top" wrapText="1"/>
    </xf>
    <xf numFmtId="0" fontId="43" fillId="0" borderId="3" xfId="0" applyFont="1" applyBorder="1" applyAlignment="1">
      <alignment horizontal="center" wrapText="1"/>
    </xf>
    <xf numFmtId="174" fontId="41" fillId="0" borderId="3" xfId="0" applyNumberFormat="1" applyFont="1" applyBorder="1" applyAlignment="1">
      <alignment horizontal="center" vertical="top" wrapText="1"/>
    </xf>
    <xf numFmtId="4" fontId="53" fillId="0" borderId="3" xfId="0" applyNumberFormat="1" applyFont="1" applyFill="1" applyBorder="1" applyAlignment="1">
      <alignment horizontal="center" vertical="top" wrapText="1"/>
    </xf>
    <xf numFmtId="0" fontId="41" fillId="0" borderId="3" xfId="0" applyFont="1" applyBorder="1" applyAlignment="1">
      <alignment horizontal="center" vertical="center" wrapText="1"/>
    </xf>
    <xf numFmtId="0" fontId="41" fillId="0" borderId="12" xfId="0" applyFont="1" applyBorder="1" applyAlignment="1">
      <alignment horizontal="center" vertical="top" wrapText="1"/>
    </xf>
    <xf numFmtId="0" fontId="41" fillId="0" borderId="13" xfId="0" applyFont="1" applyBorder="1" applyAlignment="1">
      <alignment horizontal="center" vertical="top" wrapText="1"/>
    </xf>
    <xf numFmtId="0" fontId="41" fillId="0" borderId="14" xfId="0" applyFont="1" applyBorder="1" applyAlignment="1">
      <alignment horizontal="center" vertical="top" wrapText="1"/>
    </xf>
    <xf numFmtId="0" fontId="39" fillId="0" borderId="0" xfId="0" applyFont="1" applyAlignment="1">
      <alignment horizontal="center" vertical="center"/>
    </xf>
    <xf numFmtId="0" fontId="41" fillId="0" borderId="3" xfId="0" applyFont="1" applyBorder="1" applyAlignment="1">
      <alignment horizontal="center" vertical="top" wrapText="1"/>
    </xf>
    <xf numFmtId="0" fontId="41" fillId="0" borderId="12" xfId="0" applyFont="1" applyBorder="1" applyAlignment="1">
      <alignment horizontal="center" vertical="center" wrapText="1"/>
    </xf>
    <xf numFmtId="0" fontId="41" fillId="0" borderId="14" xfId="0" applyFont="1" applyBorder="1" applyAlignment="1">
      <alignment horizontal="center" vertical="center" wrapText="1"/>
    </xf>
    <xf numFmtId="175" fontId="41" fillId="0" borderId="3" xfId="0" applyNumberFormat="1" applyFont="1" applyBorder="1" applyAlignment="1">
      <alignment horizontal="center" vertical="center" wrapText="1"/>
    </xf>
    <xf numFmtId="0" fontId="41" fillId="0" borderId="3" xfId="0" applyFont="1" applyBorder="1" applyAlignment="1">
      <alignment horizontal="left" vertical="center" wrapText="1"/>
    </xf>
    <xf numFmtId="0" fontId="68" fillId="0" borderId="3" xfId="0" applyFont="1" applyBorder="1" applyAlignment="1">
      <alignment horizontal="center" vertical="center" wrapText="1"/>
    </xf>
    <xf numFmtId="0" fontId="68" fillId="0" borderId="3" xfId="0" applyFont="1" applyFill="1" applyBorder="1" applyAlignment="1">
      <alignment horizontal="left" vertical="center" wrapText="1"/>
    </xf>
    <xf numFmtId="175" fontId="68" fillId="0" borderId="3" xfId="0" applyNumberFormat="1" applyFont="1" applyFill="1" applyBorder="1" applyAlignment="1">
      <alignment horizontal="center" vertical="center" wrapText="1"/>
    </xf>
    <xf numFmtId="0" fontId="41" fillId="0" borderId="0"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6" xfId="0" applyFont="1" applyBorder="1" applyAlignment="1">
      <alignment horizontal="center" vertical="center" wrapText="1"/>
    </xf>
    <xf numFmtId="0" fontId="82" fillId="0" borderId="3" xfId="0" applyFont="1" applyBorder="1" applyAlignment="1">
      <alignment horizontal="center" vertical="center" wrapText="1"/>
    </xf>
    <xf numFmtId="0" fontId="82" fillId="0" borderId="0" xfId="0" applyFont="1" applyAlignment="1">
      <alignment horizontal="left" wrapText="1"/>
    </xf>
    <xf numFmtId="0" fontId="14" fillId="0" borderId="7" xfId="26" applyFont="1" applyBorder="1" applyAlignment="1">
      <alignment horizontal="center" vertical="top"/>
    </xf>
    <xf numFmtId="0" fontId="14" fillId="0" borderId="21" xfId="26" applyFont="1" applyBorder="1" applyAlignment="1">
      <alignment horizontal="center" vertical="top"/>
    </xf>
    <xf numFmtId="0" fontId="14" fillId="0" borderId="22" xfId="26" applyFont="1" applyBorder="1" applyAlignment="1">
      <alignment horizontal="center" vertical="top"/>
    </xf>
    <xf numFmtId="0" fontId="14" fillId="0" borderId="17" xfId="26" applyFont="1" applyBorder="1" applyAlignment="1">
      <alignment horizontal="right"/>
    </xf>
    <xf numFmtId="0" fontId="14" fillId="0" borderId="0" xfId="26" applyFont="1" applyAlignment="1">
      <alignment horizontal="right"/>
    </xf>
    <xf numFmtId="0" fontId="14" fillId="0" borderId="0" xfId="26" applyFont="1" applyAlignment="1">
      <alignment horizontal="left"/>
    </xf>
    <xf numFmtId="0" fontId="28" fillId="0" borderId="0" xfId="26" applyFont="1" applyAlignment="1">
      <alignment horizontal="right"/>
    </xf>
    <xf numFmtId="49" fontId="28" fillId="0" borderId="2" xfId="26" applyNumberFormat="1" applyFont="1" applyBorder="1" applyAlignment="1">
      <alignment horizontal="left"/>
    </xf>
    <xf numFmtId="0" fontId="14" fillId="0" borderId="0" xfId="26" applyFont="1" applyFill="1" applyAlignment="1">
      <alignment horizontal="right"/>
    </xf>
    <xf numFmtId="49" fontId="14" fillId="0" borderId="2" xfId="26" applyNumberFormat="1" applyFont="1" applyFill="1" applyBorder="1" applyAlignment="1">
      <alignment horizontal="center"/>
    </xf>
    <xf numFmtId="0" fontId="14" fillId="0" borderId="0" xfId="26" applyFont="1" applyFill="1" applyAlignment="1">
      <alignment horizontal="left"/>
    </xf>
    <xf numFmtId="49" fontId="78" fillId="0" borderId="2" xfId="26" applyNumberFormat="1" applyFont="1" applyFill="1" applyBorder="1" applyAlignment="1">
      <alignment horizontal="center"/>
    </xf>
    <xf numFmtId="0" fontId="14" fillId="0" borderId="2" xfId="26" applyFont="1" applyFill="1" applyBorder="1" applyAlignment="1">
      <alignment horizontal="right"/>
    </xf>
    <xf numFmtId="0" fontId="79" fillId="0" borderId="2" xfId="26" applyFont="1" applyFill="1" applyBorder="1"/>
    <xf numFmtId="0" fontId="77" fillId="0" borderId="19" xfId="26" applyFont="1" applyBorder="1" applyAlignment="1">
      <alignment horizontal="left"/>
    </xf>
    <xf numFmtId="0" fontId="77" fillId="0" borderId="2" xfId="26" applyFont="1" applyBorder="1" applyAlignment="1">
      <alignment horizontal="left"/>
    </xf>
    <xf numFmtId="0" fontId="77" fillId="0" borderId="20" xfId="26" applyFont="1" applyBorder="1" applyAlignment="1">
      <alignment horizontal="left"/>
    </xf>
    <xf numFmtId="0" fontId="14" fillId="0" borderId="19" xfId="26" applyFont="1" applyBorder="1" applyAlignment="1">
      <alignment horizontal="center"/>
    </xf>
    <xf numFmtId="0" fontId="14" fillId="0" borderId="2" xfId="26" applyFont="1" applyBorder="1" applyAlignment="1">
      <alignment horizontal="center"/>
    </xf>
    <xf numFmtId="0" fontId="77" fillId="0" borderId="2" xfId="26" applyFont="1" applyBorder="1" applyAlignment="1">
      <alignment horizontal="center"/>
    </xf>
    <xf numFmtId="0" fontId="77" fillId="0" borderId="20" xfId="26" applyFont="1" applyBorder="1" applyAlignment="1">
      <alignment horizontal="center"/>
    </xf>
    <xf numFmtId="0" fontId="52" fillId="0" borderId="0" xfId="26" applyFont="1" applyBorder="1" applyAlignment="1">
      <alignment horizontal="center"/>
    </xf>
    <xf numFmtId="0" fontId="52" fillId="0" borderId="0" xfId="26" applyFont="1" applyFill="1" applyBorder="1" applyAlignment="1">
      <alignment horizontal="center" vertical="top"/>
    </xf>
    <xf numFmtId="0" fontId="14" fillId="0" borderId="2" xfId="26" applyFont="1" applyBorder="1" applyAlignment="1">
      <alignment horizontal="center" wrapText="1"/>
    </xf>
    <xf numFmtId="49" fontId="80" fillId="0" borderId="3" xfId="26" applyNumberFormat="1" applyFont="1" applyBorder="1" applyAlignment="1">
      <alignment horizontal="center" vertical="center"/>
    </xf>
    <xf numFmtId="0" fontId="80" fillId="0" borderId="12" xfId="26" applyFont="1" applyBorder="1" applyAlignment="1">
      <alignment horizontal="left" wrapText="1"/>
    </xf>
    <xf numFmtId="0" fontId="80" fillId="0" borderId="13" xfId="26" applyFont="1" applyBorder="1" applyAlignment="1">
      <alignment horizontal="left" wrapText="1"/>
    </xf>
    <xf numFmtId="49" fontId="80" fillId="0" borderId="42" xfId="26" applyNumberFormat="1" applyFont="1" applyBorder="1" applyAlignment="1">
      <alignment horizontal="center"/>
    </xf>
    <xf numFmtId="49" fontId="80" fillId="0" borderId="13" xfId="26" applyNumberFormat="1" applyFont="1" applyBorder="1" applyAlignment="1">
      <alignment horizontal="center"/>
    </xf>
    <xf numFmtId="49" fontId="80" fillId="0" borderId="14" xfId="26" applyNumberFormat="1" applyFont="1" applyBorder="1" applyAlignment="1">
      <alignment horizontal="center"/>
    </xf>
    <xf numFmtId="49" fontId="80" fillId="0" borderId="12" xfId="0" applyNumberFormat="1" applyFont="1" applyBorder="1" applyAlignment="1">
      <alignment horizontal="center" vertical="center"/>
    </xf>
    <xf numFmtId="49" fontId="80" fillId="0" borderId="13" xfId="0" applyNumberFormat="1" applyFont="1" applyBorder="1" applyAlignment="1">
      <alignment horizontal="center" vertical="center"/>
    </xf>
    <xf numFmtId="49" fontId="80" fillId="0" borderId="14" xfId="0" applyNumberFormat="1" applyFont="1" applyBorder="1" applyAlignment="1">
      <alignment horizontal="center" vertical="center"/>
    </xf>
    <xf numFmtId="0" fontId="80" fillId="0" borderId="12" xfId="0" applyFont="1" applyBorder="1" applyAlignment="1">
      <alignment horizontal="left" wrapText="1" indent="1"/>
    </xf>
    <xf numFmtId="0" fontId="80" fillId="0" borderId="13" xfId="0" applyFont="1" applyBorder="1" applyAlignment="1">
      <alignment horizontal="left" indent="1"/>
    </xf>
    <xf numFmtId="49" fontId="80" fillId="0" borderId="42" xfId="0" applyNumberFormat="1" applyFont="1" applyBorder="1" applyAlignment="1">
      <alignment horizontal="center"/>
    </xf>
    <xf numFmtId="49" fontId="80" fillId="0" borderId="13" xfId="0" applyNumberFormat="1" applyFont="1" applyBorder="1" applyAlignment="1">
      <alignment horizontal="center"/>
    </xf>
    <xf numFmtId="49" fontId="80" fillId="0" borderId="14" xfId="0" applyNumberFormat="1" applyFont="1" applyBorder="1" applyAlignment="1">
      <alignment horizontal="center"/>
    </xf>
    <xf numFmtId="49" fontId="26" fillId="14" borderId="3" xfId="26" applyNumberFormat="1" applyFont="1" applyFill="1" applyBorder="1" applyAlignment="1">
      <alignment horizontal="center" vertical="center"/>
    </xf>
    <xf numFmtId="0" fontId="26" fillId="14" borderId="12" xfId="26" applyFont="1" applyFill="1" applyBorder="1" applyAlignment="1">
      <alignment horizontal="left" wrapText="1"/>
    </xf>
    <xf numFmtId="0" fontId="26" fillId="14" borderId="13" xfId="26" applyFont="1" applyFill="1" applyBorder="1" applyAlignment="1">
      <alignment horizontal="left" wrapText="1"/>
    </xf>
    <xf numFmtId="49" fontId="26" fillId="14" borderId="38" xfId="26" applyNumberFormat="1" applyFont="1" applyFill="1" applyBorder="1" applyAlignment="1">
      <alignment horizontal="center"/>
    </xf>
    <xf numFmtId="49" fontId="26" fillId="14" borderId="39" xfId="26" applyNumberFormat="1" applyFont="1" applyFill="1" applyBorder="1" applyAlignment="1">
      <alignment horizontal="center"/>
    </xf>
    <xf numFmtId="49" fontId="26" fillId="14" borderId="40" xfId="26" applyNumberFormat="1" applyFont="1" applyFill="1" applyBorder="1" applyAlignment="1">
      <alignment horizontal="center"/>
    </xf>
    <xf numFmtId="0" fontId="80" fillId="0" borderId="12" xfId="0" applyFont="1" applyBorder="1" applyAlignment="1">
      <alignment horizontal="left" wrapText="1" indent="2"/>
    </xf>
    <xf numFmtId="0" fontId="80" fillId="0" borderId="13" xfId="0" applyFont="1" applyBorder="1" applyAlignment="1">
      <alignment horizontal="left" indent="2"/>
    </xf>
    <xf numFmtId="49" fontId="80" fillId="14" borderId="12" xfId="0" applyNumberFormat="1" applyFont="1" applyFill="1" applyBorder="1" applyAlignment="1">
      <alignment horizontal="center" vertical="center"/>
    </xf>
    <xf numFmtId="49" fontId="80" fillId="14" borderId="13" xfId="0" applyNumberFormat="1" applyFont="1" applyFill="1" applyBorder="1" applyAlignment="1">
      <alignment horizontal="center" vertical="center"/>
    </xf>
    <xf numFmtId="49" fontId="80" fillId="14" borderId="14" xfId="0" applyNumberFormat="1" applyFont="1" applyFill="1" applyBorder="1" applyAlignment="1">
      <alignment horizontal="center" vertical="center"/>
    </xf>
    <xf numFmtId="0" fontId="80" fillId="14" borderId="12" xfId="0" applyFont="1" applyFill="1" applyBorder="1" applyAlignment="1">
      <alignment horizontal="left" wrapText="1" indent="1"/>
    </xf>
    <xf numFmtId="0" fontId="80" fillId="14" borderId="13" xfId="0" applyFont="1" applyFill="1" applyBorder="1" applyAlignment="1">
      <alignment horizontal="left" indent="1"/>
    </xf>
    <xf numFmtId="49" fontId="80" fillId="14" borderId="42" xfId="0" applyNumberFormat="1" applyFont="1" applyFill="1" applyBorder="1" applyAlignment="1">
      <alignment horizontal="center"/>
    </xf>
    <xf numFmtId="49" fontId="80" fillId="14" borderId="13" xfId="0" applyNumberFormat="1" applyFont="1" applyFill="1" applyBorder="1" applyAlignment="1">
      <alignment horizontal="center"/>
    </xf>
    <xf numFmtId="49" fontId="80" fillId="14" borderId="14" xfId="0" applyNumberFormat="1" applyFont="1" applyFill="1" applyBorder="1" applyAlignment="1">
      <alignment horizontal="center"/>
    </xf>
    <xf numFmtId="49" fontId="81" fillId="0" borderId="42" xfId="0" applyNumberFormat="1" applyFont="1" applyBorder="1" applyAlignment="1">
      <alignment horizontal="center"/>
    </xf>
    <xf numFmtId="49" fontId="81" fillId="0" borderId="13" xfId="0" applyNumberFormat="1" applyFont="1" applyBorder="1" applyAlignment="1">
      <alignment horizontal="center"/>
    </xf>
    <xf numFmtId="49" fontId="81" fillId="0" borderId="14" xfId="0" applyNumberFormat="1" applyFont="1" applyBorder="1" applyAlignment="1">
      <alignment horizontal="center"/>
    </xf>
    <xf numFmtId="0" fontId="80" fillId="14" borderId="12" xfId="0" applyFont="1" applyFill="1" applyBorder="1" applyAlignment="1">
      <alignment horizontal="left" wrapText="1" indent="2"/>
    </xf>
    <xf numFmtId="0" fontId="80" fillId="14" borderId="13" xfId="0" applyFont="1" applyFill="1" applyBorder="1" applyAlignment="1">
      <alignment horizontal="left" indent="2"/>
    </xf>
    <xf numFmtId="49" fontId="26" fillId="14" borderId="12" xfId="0" applyNumberFormat="1" applyFont="1" applyFill="1" applyBorder="1" applyAlignment="1">
      <alignment horizontal="center" vertical="center"/>
    </xf>
    <xf numFmtId="49" fontId="26" fillId="14" borderId="13" xfId="0" applyNumberFormat="1" applyFont="1" applyFill="1" applyBorder="1" applyAlignment="1">
      <alignment horizontal="center" vertical="center"/>
    </xf>
    <xf numFmtId="49" fontId="26" fillId="14" borderId="14" xfId="0" applyNumberFormat="1" applyFont="1" applyFill="1" applyBorder="1" applyAlignment="1">
      <alignment horizontal="center" vertical="center"/>
    </xf>
    <xf numFmtId="0" fontId="26" fillId="14" borderId="12" xfId="0" applyFont="1" applyFill="1" applyBorder="1" applyAlignment="1">
      <alignment horizontal="left"/>
    </xf>
    <xf numFmtId="0" fontId="26" fillId="14" borderId="13" xfId="0" applyFont="1" applyFill="1" applyBorder="1" applyAlignment="1">
      <alignment horizontal="left"/>
    </xf>
    <xf numFmtId="49" fontId="26" fillId="14" borderId="38" xfId="0" applyNumberFormat="1" applyFont="1" applyFill="1" applyBorder="1" applyAlignment="1">
      <alignment horizontal="center"/>
    </xf>
    <xf numFmtId="49" fontId="26" fillId="14" borderId="39" xfId="0" applyNumberFormat="1" applyFont="1" applyFill="1" applyBorder="1" applyAlignment="1">
      <alignment horizontal="center"/>
    </xf>
    <xf numFmtId="49" fontId="26" fillId="14" borderId="40" xfId="0" applyNumberFormat="1" applyFont="1" applyFill="1" applyBorder="1" applyAlignment="1">
      <alignment horizontal="center"/>
    </xf>
    <xf numFmtId="176" fontId="80" fillId="14" borderId="12" xfId="0" applyNumberFormat="1" applyFont="1" applyFill="1" applyBorder="1" applyAlignment="1">
      <alignment horizontal="left" wrapText="1" indent="1"/>
    </xf>
    <xf numFmtId="0" fontId="26" fillId="0" borderId="0" xfId="26" applyFont="1" applyAlignment="1">
      <alignment horizontal="center" vertical="center"/>
    </xf>
    <xf numFmtId="0" fontId="15" fillId="0" borderId="3" xfId="26" applyFont="1" applyBorder="1" applyAlignment="1">
      <alignment horizontal="center" vertical="center" wrapText="1"/>
    </xf>
    <xf numFmtId="0" fontId="15" fillId="0" borderId="7"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8" xfId="26" applyFont="1" applyBorder="1" applyAlignment="1">
      <alignment horizontal="center" vertical="center" wrapText="1"/>
    </xf>
    <xf numFmtId="0" fontId="44" fillId="0" borderId="2"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32" xfId="26" applyFont="1" applyBorder="1" applyAlignment="1">
      <alignment horizontal="center" vertical="center" wrapText="1"/>
    </xf>
    <xf numFmtId="0" fontId="15" fillId="0" borderId="30" xfId="26" applyFont="1" applyBorder="1" applyAlignment="1">
      <alignment horizontal="center" vertical="center" wrapText="1"/>
    </xf>
    <xf numFmtId="0" fontId="15" fillId="0" borderId="29" xfId="26" applyFont="1" applyBorder="1" applyAlignment="1">
      <alignment horizontal="center" vertical="center" wrapText="1"/>
    </xf>
    <xf numFmtId="0" fontId="15" fillId="0" borderId="33" xfId="26" applyFont="1" applyBorder="1" applyAlignment="1">
      <alignment horizontal="center" vertical="center" wrapText="1"/>
    </xf>
    <xf numFmtId="0" fontId="15" fillId="0" borderId="12" xfId="26" applyFont="1" applyBorder="1" applyAlignment="1">
      <alignment horizontal="center" vertical="center"/>
    </xf>
    <xf numFmtId="0" fontId="15" fillId="0" borderId="13" xfId="26" applyFont="1" applyBorder="1" applyAlignment="1">
      <alignment horizontal="center" vertical="center"/>
    </xf>
    <xf numFmtId="0" fontId="15" fillId="0" borderId="14" xfId="26"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49" fontId="25" fillId="0" borderId="13" xfId="26" applyNumberFormat="1" applyFont="1" applyBorder="1" applyAlignment="1">
      <alignment horizontal="center" vertical="top" wrapText="1"/>
    </xf>
    <xf numFmtId="49" fontId="25" fillId="0" borderId="14" xfId="26" applyNumberFormat="1" applyFont="1" applyBorder="1" applyAlignment="1">
      <alignment horizontal="center" vertical="top" wrapText="1"/>
    </xf>
    <xf numFmtId="49" fontId="25" fillId="0" borderId="34" xfId="26" applyNumberFormat="1" applyFont="1" applyBorder="1" applyAlignment="1">
      <alignment horizontal="center" vertical="top"/>
    </xf>
    <xf numFmtId="49" fontId="25" fillId="0" borderId="35" xfId="26" applyNumberFormat="1" applyFont="1" applyBorder="1" applyAlignment="1">
      <alignment horizontal="center" vertical="top"/>
    </xf>
    <xf numFmtId="49" fontId="25" fillId="0" borderId="36" xfId="26" applyNumberFormat="1" applyFont="1" applyBorder="1" applyAlignment="1">
      <alignment horizontal="center" vertical="top"/>
    </xf>
    <xf numFmtId="49" fontId="81" fillId="14" borderId="42" xfId="0" applyNumberFormat="1" applyFont="1" applyFill="1" applyBorder="1" applyAlignment="1">
      <alignment horizontal="center"/>
    </xf>
    <xf numFmtId="49" fontId="81" fillId="14" borderId="13" xfId="0" applyNumberFormat="1" applyFont="1" applyFill="1" applyBorder="1" applyAlignment="1">
      <alignment horizontal="center"/>
    </xf>
    <xf numFmtId="49" fontId="81" fillId="14" borderId="14" xfId="0" applyNumberFormat="1" applyFont="1" applyFill="1" applyBorder="1" applyAlignment="1">
      <alignment horizontal="center"/>
    </xf>
    <xf numFmtId="0" fontId="71" fillId="0" borderId="12"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4" xfId="0" applyFont="1" applyBorder="1" applyAlignment="1">
      <alignment horizontal="center" vertical="center" wrapText="1"/>
    </xf>
    <xf numFmtId="0" fontId="71" fillId="0" borderId="5" xfId="0" applyFont="1" applyBorder="1" applyAlignment="1">
      <alignment horizontal="center" vertical="center" wrapText="1"/>
    </xf>
    <xf numFmtId="0" fontId="71" fillId="0" borderId="6" xfId="0" applyFont="1" applyBorder="1" applyAlignment="1">
      <alignment horizontal="center" vertical="center" wrapText="1"/>
    </xf>
    <xf numFmtId="0" fontId="71" fillId="0" borderId="3" xfId="0" applyFont="1" applyBorder="1" applyAlignment="1">
      <alignment horizontal="center" vertical="center" wrapText="1"/>
    </xf>
    <xf numFmtId="0" fontId="82" fillId="0" borderId="12" xfId="0" applyFont="1" applyBorder="1" applyAlignment="1">
      <alignment horizontal="center" vertical="center" wrapText="1"/>
    </xf>
    <xf numFmtId="0" fontId="82" fillId="0" borderId="13" xfId="0" applyFont="1" applyBorder="1" applyAlignment="1">
      <alignment horizontal="center" vertical="center" wrapText="1"/>
    </xf>
    <xf numFmtId="0" fontId="82" fillId="0" borderId="14" xfId="0" applyFont="1" applyBorder="1" applyAlignment="1">
      <alignment horizontal="center" vertical="center" wrapText="1"/>
    </xf>
    <xf numFmtId="0" fontId="41" fillId="0" borderId="3" xfId="0" applyFont="1" applyFill="1" applyBorder="1" applyAlignment="1">
      <alignment horizontal="center" vertical="center" wrapText="1"/>
    </xf>
    <xf numFmtId="0" fontId="82" fillId="0" borderId="3" xfId="0" applyFont="1" applyFill="1" applyBorder="1" applyAlignment="1">
      <alignment horizontal="center" vertical="center" wrapText="1"/>
    </xf>
    <xf numFmtId="0" fontId="41" fillId="0" borderId="3" xfId="0" applyFont="1" applyBorder="1" applyAlignment="1">
      <alignment vertical="center" wrapText="1"/>
    </xf>
    <xf numFmtId="0" fontId="10" fillId="0" borderId="0" xfId="0" applyFont="1" applyAlignment="1">
      <alignment horizont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4" fontId="10" fillId="0" borderId="0" xfId="0" applyNumberFormat="1" applyFont="1" applyAlignment="1">
      <alignment horizontal="center" vertical="center"/>
    </xf>
    <xf numFmtId="4" fontId="63" fillId="0" borderId="3" xfId="0" applyNumberFormat="1" applyFont="1" applyBorder="1" applyAlignment="1">
      <alignment horizontal="center" vertical="center"/>
    </xf>
    <xf numFmtId="0" fontId="10" fillId="12" borderId="3" xfId="0" applyFont="1" applyFill="1" applyBorder="1" applyAlignment="1">
      <alignment horizontal="center"/>
    </xf>
    <xf numFmtId="0" fontId="33" fillId="12" borderId="3" xfId="0" applyFont="1" applyFill="1" applyBorder="1" applyAlignment="1">
      <alignment horizontal="center"/>
    </xf>
    <xf numFmtId="0" fontId="10" fillId="12" borderId="3" xfId="0" applyFont="1" applyFill="1" applyBorder="1" applyAlignment="1">
      <alignment horizontal="left"/>
    </xf>
    <xf numFmtId="0" fontId="10" fillId="12" borderId="12" xfId="0" applyFont="1" applyFill="1" applyBorder="1" applyAlignment="1">
      <alignment horizontal="left" wrapText="1"/>
    </xf>
    <xf numFmtId="0" fontId="10" fillId="12" borderId="13" xfId="0" applyFont="1" applyFill="1" applyBorder="1" applyAlignment="1">
      <alignment horizontal="left" wrapText="1"/>
    </xf>
    <xf numFmtId="0" fontId="10" fillId="12" borderId="14" xfId="0" applyFont="1" applyFill="1" applyBorder="1" applyAlignment="1">
      <alignment horizontal="left" wrapText="1"/>
    </xf>
    <xf numFmtId="0" fontId="10" fillId="12" borderId="12" xfId="0" applyFont="1" applyFill="1" applyBorder="1" applyAlignment="1">
      <alignment horizontal="left"/>
    </xf>
    <xf numFmtId="0" fontId="10" fillId="12" borderId="13" xfId="0" applyFont="1" applyFill="1" applyBorder="1" applyAlignment="1">
      <alignment horizontal="left"/>
    </xf>
    <xf numFmtId="0" fontId="10" fillId="12" borderId="14" xfId="0" applyFont="1" applyFill="1" applyBorder="1" applyAlignment="1">
      <alignment horizontal="left"/>
    </xf>
    <xf numFmtId="0" fontId="10" fillId="12" borderId="12" xfId="0" applyFont="1" applyFill="1" applyBorder="1" applyAlignment="1">
      <alignment horizontal="right"/>
    </xf>
    <xf numFmtId="0" fontId="10" fillId="12" borderId="13" xfId="0" applyFont="1" applyFill="1" applyBorder="1" applyAlignment="1">
      <alignment horizontal="right"/>
    </xf>
    <xf numFmtId="0" fontId="10" fillId="12" borderId="14" xfId="0" applyFont="1" applyFill="1" applyBorder="1" applyAlignment="1">
      <alignment horizontal="right"/>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N57">
            <v>27124887.949999999</v>
          </cell>
        </row>
        <row r="79">
          <cell r="N79">
            <v>5207036.58</v>
          </cell>
        </row>
      </sheetData>
      <sheetData sheetId="7"/>
      <sheetData sheetId="8"/>
      <sheetData sheetId="9">
        <row r="22">
          <cell r="F22">
            <v>8142293.2800000003</v>
          </cell>
          <cell r="H22">
            <v>8098921.9800000004</v>
          </cell>
        </row>
        <row r="42">
          <cell r="F42">
            <v>1450913.69</v>
          </cell>
          <cell r="H42">
            <v>1533302.43</v>
          </cell>
        </row>
      </sheetData>
      <sheetData sheetId="10">
        <row r="12">
          <cell r="J12">
            <v>33799.160000000003</v>
          </cell>
          <cell r="N12">
            <v>35559.82</v>
          </cell>
        </row>
        <row r="38">
          <cell r="I38">
            <v>0</v>
          </cell>
          <cell r="J38">
            <v>1931855</v>
          </cell>
          <cell r="N38">
            <v>1875795.25</v>
          </cell>
        </row>
        <row r="39">
          <cell r="I39">
            <v>0</v>
          </cell>
          <cell r="J39">
            <v>99437</v>
          </cell>
          <cell r="N39">
            <v>99437</v>
          </cell>
        </row>
        <row r="41">
          <cell r="J41">
            <v>57383.81</v>
          </cell>
          <cell r="N41">
            <v>57383.81</v>
          </cell>
        </row>
        <row r="42">
          <cell r="J42">
            <v>2108376.81</v>
          </cell>
          <cell r="N42">
            <v>2052317.06</v>
          </cell>
        </row>
        <row r="51">
          <cell r="J51">
            <v>7568.56</v>
          </cell>
          <cell r="N51">
            <v>7810.55</v>
          </cell>
        </row>
        <row r="52">
          <cell r="J52">
            <v>0</v>
          </cell>
          <cell r="N52">
            <v>0</v>
          </cell>
        </row>
        <row r="84">
          <cell r="R84">
            <v>108464.16</v>
          </cell>
        </row>
        <row r="96">
          <cell r="R96">
            <v>181320</v>
          </cell>
        </row>
        <row r="109">
          <cell r="N109">
            <v>79311.92</v>
          </cell>
        </row>
        <row r="120">
          <cell r="N120">
            <v>405383.61</v>
          </cell>
        </row>
        <row r="138">
          <cell r="N138">
            <v>2057755.88</v>
          </cell>
        </row>
      </sheetData>
      <sheetData sheetId="11">
        <row r="19">
          <cell r="N19">
            <v>26226.32</v>
          </cell>
        </row>
        <row r="34">
          <cell r="O34">
            <v>1562181.16</v>
          </cell>
        </row>
        <row r="46">
          <cell r="O46">
            <v>0</v>
          </cell>
        </row>
        <row r="59">
          <cell r="O59">
            <v>364281.23</v>
          </cell>
        </row>
        <row r="69">
          <cell r="O69">
            <v>14294.28</v>
          </cell>
        </row>
      </sheetData>
      <sheetData sheetId="12">
        <row r="14">
          <cell r="K14">
            <v>17902</v>
          </cell>
        </row>
        <row r="36">
          <cell r="N36">
            <v>1128025.2</v>
          </cell>
        </row>
        <row r="52">
          <cell r="L52">
            <v>186427.51</v>
          </cell>
        </row>
        <row r="62">
          <cell r="L62">
            <v>2329591.33</v>
          </cell>
        </row>
        <row r="110">
          <cell r="L110">
            <v>2742231.09</v>
          </cell>
        </row>
        <row r="243">
          <cell r="L243">
            <v>306328</v>
          </cell>
        </row>
        <row r="295">
          <cell r="L295">
            <v>1420791.46</v>
          </cell>
        </row>
        <row r="299">
          <cell r="G299" t="str">
            <v>2021 год</v>
          </cell>
        </row>
        <row r="300">
          <cell r="G300">
            <v>4800</v>
          </cell>
          <cell r="H300">
            <v>7200</v>
          </cell>
        </row>
        <row r="301">
          <cell r="G301">
            <v>46508233.899999999</v>
          </cell>
          <cell r="H301">
            <v>46636352.270000003</v>
          </cell>
        </row>
        <row r="302">
          <cell r="H302">
            <v>12701250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Q35"/>
  <sheetViews>
    <sheetView zoomScale="55" workbookViewId="0">
      <selection activeCell="S6" sqref="S6"/>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20.25">
      <c r="A1" s="4"/>
      <c r="B1" s="5"/>
      <c r="C1" s="5"/>
      <c r="D1" s="5"/>
      <c r="E1" s="4"/>
      <c r="F1" s="4"/>
      <c r="G1" s="4"/>
      <c r="H1" s="4"/>
      <c r="I1" s="4"/>
      <c r="J1" s="4"/>
      <c r="K1" s="4"/>
      <c r="L1" s="4"/>
      <c r="M1" s="4"/>
      <c r="N1" s="4"/>
      <c r="O1" s="4"/>
      <c r="P1" s="4"/>
      <c r="Q1" s="6"/>
    </row>
    <row r="2" spans="1:17" ht="46.5" customHeight="1">
      <c r="A2" s="614"/>
      <c r="B2" s="5"/>
      <c r="C2" s="5"/>
      <c r="D2" s="5"/>
      <c r="E2" s="4"/>
      <c r="F2" s="4"/>
      <c r="G2" s="4"/>
      <c r="H2" s="4"/>
      <c r="I2" s="697" t="s">
        <v>0</v>
      </c>
      <c r="J2" s="697"/>
      <c r="K2" s="697"/>
      <c r="L2" s="697"/>
      <c r="M2" s="697"/>
      <c r="N2" s="8"/>
      <c r="O2" s="8"/>
      <c r="P2" s="8"/>
      <c r="Q2" s="9"/>
    </row>
    <row r="3" spans="1:17" ht="26.25" customHeight="1">
      <c r="A3" s="4"/>
      <c r="B3" s="5"/>
      <c r="C3" s="5"/>
      <c r="D3" s="5"/>
      <c r="E3" s="4"/>
      <c r="F3" s="4"/>
      <c r="G3" s="4"/>
      <c r="H3" s="4"/>
      <c r="I3" s="10" t="s">
        <v>1</v>
      </c>
      <c r="J3" s="10"/>
      <c r="K3" s="10"/>
      <c r="L3" s="10"/>
      <c r="M3" s="10"/>
      <c r="N3" s="10"/>
      <c r="O3" s="10"/>
      <c r="P3" s="10"/>
      <c r="Q3" s="9"/>
    </row>
    <row r="4" spans="1:17" ht="24.75" customHeight="1">
      <c r="A4" s="4"/>
      <c r="B4" s="5"/>
      <c r="C4" s="5"/>
      <c r="D4" s="5"/>
      <c r="E4" s="4"/>
      <c r="F4" s="4"/>
      <c r="G4" s="4"/>
      <c r="H4" s="4"/>
      <c r="I4" s="697" t="s">
        <v>673</v>
      </c>
      <c r="J4" s="697"/>
      <c r="K4" s="697"/>
      <c r="L4" s="697"/>
      <c r="M4" s="697"/>
      <c r="N4" s="697"/>
      <c r="O4" s="697"/>
      <c r="P4" s="697"/>
      <c r="Q4" s="697"/>
    </row>
    <row r="5" spans="1:17" ht="13.5" customHeight="1">
      <c r="A5" s="4"/>
      <c r="B5" s="5"/>
      <c r="C5" s="5"/>
      <c r="D5" s="5"/>
      <c r="E5" s="4"/>
      <c r="F5" s="4"/>
      <c r="G5" s="4"/>
      <c r="H5" s="4"/>
      <c r="I5" s="698" t="s">
        <v>2</v>
      </c>
      <c r="J5" s="698"/>
      <c r="K5" s="698"/>
      <c r="L5" s="698"/>
      <c r="M5" s="698"/>
      <c r="N5" s="7"/>
      <c r="O5" s="7"/>
      <c r="P5" s="7"/>
      <c r="Q5" s="9"/>
    </row>
    <row r="6" spans="1:17" ht="37.5" customHeight="1">
      <c r="A6" s="4"/>
      <c r="B6" s="5"/>
      <c r="C6" s="5"/>
      <c r="D6" s="5"/>
      <c r="E6" s="4"/>
      <c r="F6" s="4"/>
      <c r="G6" s="4"/>
      <c r="H6" s="4"/>
      <c r="I6" s="11"/>
      <c r="J6" s="12"/>
      <c r="K6" s="12"/>
      <c r="L6" s="12"/>
      <c r="M6" s="258"/>
      <c r="N6" s="13"/>
      <c r="O6" s="13"/>
      <c r="P6" s="13"/>
      <c r="Q6" s="341" t="s">
        <v>797</v>
      </c>
    </row>
    <row r="7" spans="1:17" ht="37.5" customHeight="1">
      <c r="A7" s="4"/>
      <c r="B7" s="5"/>
      <c r="C7" s="5"/>
      <c r="D7" s="5"/>
      <c r="E7" s="4"/>
      <c r="F7" s="4"/>
      <c r="G7" s="4"/>
      <c r="H7" s="4"/>
      <c r="I7" s="272" t="s">
        <v>305</v>
      </c>
      <c r="J7" s="264"/>
      <c r="K7" s="264"/>
      <c r="L7" s="264"/>
      <c r="M7" s="265"/>
      <c r="N7" s="266"/>
      <c r="O7" s="266"/>
      <c r="P7" s="266"/>
      <c r="Q7" s="267" t="s">
        <v>679</v>
      </c>
    </row>
    <row r="8" spans="1:17" ht="22.5" customHeight="1">
      <c r="A8" s="4"/>
      <c r="B8" s="5"/>
      <c r="C8" s="5"/>
      <c r="D8" s="5"/>
      <c r="E8" s="4"/>
      <c r="F8" s="4"/>
      <c r="G8" s="4"/>
      <c r="H8" s="4"/>
      <c r="I8" s="697" t="s">
        <v>830</v>
      </c>
      <c r="J8" s="697"/>
      <c r="K8" s="697"/>
      <c r="L8" s="697"/>
      <c r="M8" s="697"/>
      <c r="N8" s="7"/>
      <c r="O8" s="7"/>
      <c r="P8" s="7"/>
      <c r="Q8" s="9"/>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0.25">
      <c r="A20" s="4"/>
      <c r="B20" s="5"/>
      <c r="C20" s="5"/>
      <c r="D20" s="5"/>
      <c r="E20" s="4"/>
      <c r="F20" s="4"/>
      <c r="G20" s="4"/>
      <c r="H20" s="4"/>
      <c r="I20" s="4"/>
      <c r="J20" s="4"/>
      <c r="K20" s="4"/>
      <c r="L20" s="4"/>
      <c r="M20" s="4"/>
      <c r="N20" s="4"/>
      <c r="O20" s="4"/>
      <c r="P20" s="4"/>
      <c r="Q20" s="6"/>
    </row>
    <row r="21" spans="1:17" ht="23.25">
      <c r="A21" s="692" t="s">
        <v>798</v>
      </c>
      <c r="B21" s="692"/>
      <c r="C21" s="692"/>
      <c r="D21" s="692"/>
      <c r="E21" s="692"/>
      <c r="F21" s="692"/>
      <c r="G21" s="692"/>
      <c r="H21" s="692"/>
      <c r="I21" s="692"/>
      <c r="J21" s="692"/>
      <c r="K21" s="692"/>
      <c r="L21" s="692"/>
      <c r="M21" s="692"/>
      <c r="N21" s="692"/>
      <c r="O21" s="692"/>
      <c r="P21" s="692"/>
      <c r="Q21" s="692"/>
    </row>
    <row r="22" spans="1:17" ht="23.25">
      <c r="A22" s="692" t="s">
        <v>799</v>
      </c>
      <c r="B22" s="692"/>
      <c r="C22" s="692"/>
      <c r="D22" s="692"/>
      <c r="E22" s="692"/>
      <c r="F22" s="692"/>
      <c r="G22" s="692"/>
      <c r="H22" s="692"/>
      <c r="I22" s="692"/>
      <c r="J22" s="692"/>
      <c r="K22" s="692"/>
      <c r="L22" s="692"/>
      <c r="M22" s="692"/>
      <c r="N22" s="692"/>
      <c r="O22" s="692"/>
      <c r="P22" s="692"/>
      <c r="Q22" s="692"/>
    </row>
    <row r="23" spans="1:17" ht="23.25">
      <c r="A23" s="692" t="s">
        <v>835</v>
      </c>
      <c r="B23" s="692"/>
      <c r="C23" s="692"/>
      <c r="D23" s="692"/>
      <c r="E23" s="692"/>
      <c r="F23" s="692"/>
      <c r="G23" s="692"/>
      <c r="H23" s="692"/>
      <c r="I23" s="692"/>
      <c r="J23" s="692"/>
      <c r="K23" s="692"/>
      <c r="L23" s="692"/>
      <c r="M23" s="692"/>
      <c r="N23" s="692"/>
      <c r="O23" s="692"/>
      <c r="P23" s="692"/>
      <c r="Q23" s="692"/>
    </row>
    <row r="24" spans="1:17" ht="23.25">
      <c r="A24" s="14"/>
      <c r="B24" s="14"/>
      <c r="C24" s="14"/>
      <c r="D24" s="14"/>
      <c r="E24" s="14"/>
      <c r="F24" s="14"/>
      <c r="G24" s="14"/>
      <c r="H24" s="14"/>
      <c r="I24" s="14"/>
      <c r="J24" s="14"/>
      <c r="K24" s="14"/>
      <c r="L24" s="14"/>
      <c r="M24" s="14"/>
      <c r="N24" s="14"/>
      <c r="O24" s="14"/>
      <c r="P24" s="14"/>
      <c r="Q24" s="15"/>
    </row>
    <row r="25" spans="1:17" ht="20.25">
      <c r="A25" s="16"/>
      <c r="B25" s="5"/>
      <c r="C25" s="5"/>
      <c r="D25" s="5"/>
      <c r="E25" s="16"/>
      <c r="F25" s="16"/>
      <c r="G25" s="16"/>
      <c r="H25" s="16"/>
      <c r="I25" s="16"/>
      <c r="J25" s="16"/>
      <c r="K25" s="16"/>
      <c r="L25" s="16"/>
      <c r="M25" s="16"/>
      <c r="N25" s="16"/>
      <c r="O25" s="16"/>
      <c r="P25" s="16"/>
      <c r="Q25" s="17"/>
    </row>
    <row r="26" spans="1:17" ht="18" customHeight="1">
      <c r="A26" s="16" t="s">
        <v>3</v>
      </c>
      <c r="B26" s="5"/>
      <c r="C26" s="5"/>
      <c r="D26" s="5"/>
      <c r="E26" s="16"/>
      <c r="F26" s="16"/>
      <c r="G26" s="16"/>
      <c r="H26" s="16"/>
      <c r="I26" s="16"/>
      <c r="J26" s="16"/>
      <c r="K26" s="16"/>
      <c r="L26" s="16"/>
      <c r="M26" s="16"/>
      <c r="N26" s="16"/>
      <c r="O26" s="16"/>
      <c r="P26" s="16"/>
      <c r="Q26" s="17"/>
    </row>
    <row r="27" spans="1:17" ht="23.25">
      <c r="A27" s="16" t="s">
        <v>4</v>
      </c>
      <c r="B27" s="5"/>
      <c r="C27" s="18" t="s">
        <v>195</v>
      </c>
      <c r="D27" s="19"/>
      <c r="E27" s="20"/>
      <c r="F27" s="20"/>
      <c r="G27" s="20"/>
      <c r="H27" s="20"/>
      <c r="I27" s="20"/>
      <c r="J27" s="20"/>
      <c r="K27" s="20"/>
      <c r="L27" s="20"/>
      <c r="M27" s="20"/>
      <c r="N27" s="20"/>
      <c r="O27" s="20"/>
      <c r="P27" s="20"/>
      <c r="Q27" s="21"/>
    </row>
    <row r="28" spans="1:17" ht="20.25">
      <c r="A28" s="16"/>
      <c r="B28" s="5"/>
      <c r="C28" s="5"/>
      <c r="D28" s="5"/>
      <c r="E28" s="16"/>
      <c r="F28" s="16"/>
      <c r="G28" s="16"/>
      <c r="H28" s="16"/>
      <c r="I28" s="16"/>
      <c r="J28" s="16"/>
      <c r="K28" s="16"/>
      <c r="L28" s="16"/>
      <c r="M28" s="16"/>
      <c r="N28" s="16"/>
      <c r="O28" s="16"/>
      <c r="P28" s="16"/>
      <c r="Q28" s="17"/>
    </row>
    <row r="29" spans="1:17" ht="22.5" customHeight="1">
      <c r="A29" s="16" t="s">
        <v>5</v>
      </c>
      <c r="B29" s="18" t="s">
        <v>659</v>
      </c>
      <c r="C29" s="19"/>
      <c r="D29" s="19"/>
      <c r="E29" s="20"/>
      <c r="F29" s="20"/>
      <c r="G29" s="20"/>
      <c r="H29" s="20"/>
      <c r="I29" s="20"/>
      <c r="J29" s="20"/>
      <c r="K29" s="20"/>
      <c r="L29" s="20"/>
      <c r="M29" s="20"/>
      <c r="N29" s="16"/>
      <c r="O29" s="16"/>
      <c r="P29" s="16"/>
      <c r="Q29" s="17"/>
    </row>
    <row r="30" spans="1:17" ht="20.25">
      <c r="A30" s="16"/>
      <c r="B30" s="5"/>
      <c r="C30" s="5"/>
      <c r="D30" s="5"/>
      <c r="E30" s="16"/>
      <c r="F30" s="16"/>
      <c r="G30" s="16"/>
      <c r="H30" s="16"/>
      <c r="I30" s="16"/>
      <c r="J30" s="16"/>
      <c r="K30" s="16"/>
      <c r="L30" s="16"/>
      <c r="M30" s="16"/>
      <c r="N30" s="16"/>
      <c r="O30" s="16"/>
      <c r="P30" s="16"/>
      <c r="Q30" s="17"/>
    </row>
    <row r="31" spans="1:17" ht="18" customHeight="1">
      <c r="A31" s="22" t="s">
        <v>6</v>
      </c>
      <c r="E31" s="22"/>
      <c r="F31" s="22"/>
      <c r="G31" s="22"/>
      <c r="H31" s="22"/>
      <c r="I31" s="22"/>
      <c r="J31" s="22"/>
      <c r="K31" s="22"/>
      <c r="L31" s="22"/>
      <c r="M31" s="22"/>
      <c r="N31" s="22"/>
      <c r="O31" s="22"/>
      <c r="P31" s="22"/>
      <c r="Q31" s="23"/>
    </row>
    <row r="32" spans="1:17" customFormat="1" ht="15" hidden="1">
      <c r="A32" s="24"/>
      <c r="B32" s="25"/>
      <c r="C32" s="25"/>
      <c r="D32" s="25"/>
      <c r="E32" s="25"/>
      <c r="F32" s="693"/>
      <c r="G32" s="26"/>
      <c r="H32" s="26"/>
      <c r="I32" s="25"/>
      <c r="J32" s="693"/>
      <c r="K32" s="26"/>
      <c r="L32" s="26"/>
      <c r="M32" s="25"/>
      <c r="N32" s="693"/>
      <c r="O32" s="26"/>
      <c r="P32" s="26"/>
      <c r="Q32" s="27"/>
    </row>
    <row r="33" spans="1:17" customFormat="1" ht="45" hidden="1">
      <c r="A33" s="24" t="s">
        <v>7</v>
      </c>
      <c r="B33" s="25">
        <v>2620</v>
      </c>
      <c r="C33" s="25">
        <v>242</v>
      </c>
      <c r="D33" s="25"/>
      <c r="E33" s="25"/>
      <c r="F33" s="693"/>
      <c r="G33" s="26"/>
      <c r="H33" s="26"/>
      <c r="I33" s="25"/>
      <c r="J33" s="693"/>
      <c r="K33" s="26"/>
      <c r="L33" s="26"/>
      <c r="M33" s="25"/>
      <c r="N33" s="693"/>
      <c r="O33" s="26"/>
      <c r="P33" s="26"/>
      <c r="Q33" s="27"/>
    </row>
    <row r="34" spans="1:17" customFormat="1" ht="22.5" hidden="1" customHeight="1">
      <c r="A34" s="694" t="s">
        <v>8</v>
      </c>
      <c r="B34" s="695">
        <v>2630</v>
      </c>
      <c r="C34" s="695">
        <v>243</v>
      </c>
      <c r="D34" s="695"/>
      <c r="E34" s="695"/>
      <c r="F34" s="693"/>
      <c r="G34" s="26"/>
      <c r="H34" s="26"/>
      <c r="I34" s="695"/>
      <c r="J34" s="693"/>
      <c r="K34" s="26"/>
      <c r="L34" s="26"/>
      <c r="M34" s="695"/>
      <c r="N34" s="693"/>
      <c r="O34" s="26"/>
      <c r="P34" s="26"/>
      <c r="Q34" s="696"/>
    </row>
    <row r="35" spans="1:17" customFormat="1" ht="22.5" hidden="1" customHeight="1">
      <c r="A35" s="694"/>
      <c r="B35" s="695"/>
      <c r="C35" s="695"/>
      <c r="D35" s="695"/>
      <c r="E35" s="695"/>
      <c r="F35" s="26"/>
      <c r="G35" s="26"/>
      <c r="H35" s="26"/>
      <c r="I35" s="695"/>
      <c r="J35" s="26"/>
      <c r="K35" s="26"/>
      <c r="L35" s="26"/>
      <c r="M35" s="695"/>
      <c r="N35" s="26"/>
      <c r="O35" s="26"/>
      <c r="P35" s="26"/>
      <c r="Q35" s="696"/>
    </row>
  </sheetData>
  <mergeCells count="18">
    <mergeCell ref="I2:M2"/>
    <mergeCell ref="I4:Q4"/>
    <mergeCell ref="I5:M5"/>
    <mergeCell ref="I8:M8"/>
    <mergeCell ref="A21:Q21"/>
    <mergeCell ref="A22:Q22"/>
    <mergeCell ref="A23:Q23"/>
    <mergeCell ref="F32:F34"/>
    <mergeCell ref="J32:J34"/>
    <mergeCell ref="N32:N34"/>
    <mergeCell ref="A34:A35"/>
    <mergeCell ref="B34:B35"/>
    <mergeCell ref="C34:C35"/>
    <mergeCell ref="D34:D35"/>
    <mergeCell ref="E34:E35"/>
    <mergeCell ref="I34:I35"/>
    <mergeCell ref="M34:M35"/>
    <mergeCell ref="Q34:Q35"/>
  </mergeCells>
  <hyperlinks>
    <hyperlink ref="A22" location="_edn1" display="(на 2021г. и плановый период 2022 и 2023 годов)"/>
    <hyperlink ref="A23" location="_edn2" display="от «__»__________2021г."/>
  </hyperlinks>
  <pageMargins left="0.78740157480314965" right="0.39370078740157483" top="0.39370078740157483" bottom="0.39370078740157483" header="0.31496062992125984" footer="0.31496062992125984"/>
  <pageSetup paperSize="9" scale="52"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O276"/>
  <sheetViews>
    <sheetView view="pageBreakPreview" topLeftCell="A22" zoomScale="70" zoomScaleNormal="85" zoomScaleSheetLayoutView="70" workbookViewId="0">
      <selection activeCell="I68" sqref="I68"/>
    </sheetView>
  </sheetViews>
  <sheetFormatPr defaultRowHeight="15"/>
  <cols>
    <col min="1" max="1" width="9.140625" style="114" bestFit="1"/>
    <col min="2" max="2" width="36.5703125" style="114" customWidth="1"/>
    <col min="3" max="3" width="18.7109375" style="114" customWidth="1"/>
    <col min="4" max="4" width="16.85546875" style="114" bestFit="1" customWidth="1"/>
    <col min="5" max="5" width="12.42578125" style="114" bestFit="1" customWidth="1"/>
    <col min="6" max="6" width="15.42578125" style="114" bestFit="1" customWidth="1"/>
    <col min="7" max="7" width="14.7109375" style="114" bestFit="1" customWidth="1"/>
    <col min="8" max="8" width="11.85546875" style="114" bestFit="1" customWidth="1"/>
    <col min="9" max="9" width="17.140625" style="114" bestFit="1" customWidth="1"/>
    <col min="10" max="10" width="14.5703125" style="114" bestFit="1" customWidth="1"/>
    <col min="11" max="11" width="13" style="114" bestFit="1" customWidth="1"/>
    <col min="12" max="12" width="16" style="114" bestFit="1" customWidth="1"/>
    <col min="13" max="13" width="14" style="114" bestFit="1" customWidth="1"/>
    <col min="14" max="14" width="14.28515625" style="114" bestFit="1" customWidth="1"/>
    <col min="15" max="15" width="14" style="114" bestFit="1" customWidth="1"/>
    <col min="16" max="16" width="9.140625" style="114" bestFit="1"/>
    <col min="17" max="16384" width="9.140625" style="114"/>
  </cols>
  <sheetData>
    <row r="1" spans="1:15" ht="17.25">
      <c r="A1" s="852" t="s">
        <v>427</v>
      </c>
      <c r="B1" s="852"/>
      <c r="C1" s="852"/>
      <c r="D1" s="852"/>
      <c r="E1" s="852"/>
      <c r="F1" s="852"/>
      <c r="G1" s="852"/>
      <c r="H1" s="852"/>
      <c r="I1" s="852"/>
      <c r="J1" s="852"/>
      <c r="K1" s="852"/>
      <c r="L1" s="852"/>
      <c r="M1" s="115"/>
      <c r="N1" s="115"/>
      <c r="O1" s="115"/>
    </row>
    <row r="2" spans="1:15" ht="17.25">
      <c r="A2" s="852" t="s">
        <v>428</v>
      </c>
      <c r="B2" s="852"/>
      <c r="C2" s="852"/>
      <c r="D2" s="852"/>
      <c r="E2" s="852"/>
      <c r="F2" s="852"/>
      <c r="G2" s="852"/>
      <c r="H2" s="852"/>
      <c r="I2" s="852"/>
      <c r="J2" s="852"/>
      <c r="K2" s="852"/>
      <c r="L2" s="852"/>
      <c r="M2" s="852"/>
      <c r="N2" s="852"/>
      <c r="O2" s="852"/>
    </row>
    <row r="4" spans="1:15" ht="15.75">
      <c r="A4" s="116" t="s">
        <v>429</v>
      </c>
    </row>
    <row r="5" spans="1:15" ht="15.75">
      <c r="A5" s="841" t="s">
        <v>430</v>
      </c>
      <c r="B5" s="841"/>
      <c r="C5" s="841"/>
      <c r="D5" s="841"/>
      <c r="E5" s="841"/>
      <c r="F5" s="841"/>
      <c r="G5" s="841"/>
      <c r="H5" s="841"/>
      <c r="I5" s="841"/>
      <c r="J5" s="841"/>
      <c r="K5" s="841"/>
      <c r="L5" s="841"/>
    </row>
    <row r="6" spans="1:15" ht="15.75">
      <c r="A6" s="117" t="s">
        <v>661</v>
      </c>
      <c r="B6" s="117"/>
      <c r="C6" s="117"/>
      <c r="D6" s="117"/>
      <c r="E6" s="117"/>
      <c r="F6" s="117"/>
      <c r="G6" s="117"/>
      <c r="H6" s="117"/>
      <c r="I6" s="117"/>
      <c r="J6" s="117"/>
      <c r="K6" s="117"/>
      <c r="L6" s="117"/>
      <c r="M6" s="118"/>
      <c r="N6" s="118"/>
      <c r="O6" s="118"/>
    </row>
    <row r="7" spans="1:15" ht="15.75">
      <c r="A7" s="2"/>
      <c r="B7" s="2"/>
      <c r="C7" s="2"/>
      <c r="D7" s="2"/>
      <c r="E7" s="2"/>
      <c r="F7" s="2"/>
      <c r="G7" s="2"/>
      <c r="H7" s="2"/>
      <c r="I7" s="2"/>
      <c r="J7" s="2"/>
      <c r="K7" s="2"/>
      <c r="L7" s="2"/>
      <c r="M7" s="118"/>
      <c r="N7" s="118"/>
      <c r="O7" s="118"/>
    </row>
    <row r="8" spans="1:15">
      <c r="A8" s="848" t="s">
        <v>431</v>
      </c>
      <c r="B8" s="848" t="s">
        <v>432</v>
      </c>
      <c r="C8" s="848" t="s">
        <v>433</v>
      </c>
      <c r="D8" s="853" t="s">
        <v>744</v>
      </c>
      <c r="E8" s="853"/>
      <c r="F8" s="853"/>
      <c r="G8" s="853" t="s">
        <v>745</v>
      </c>
      <c r="H8" s="853"/>
      <c r="I8" s="853"/>
      <c r="J8" s="853" t="s">
        <v>746</v>
      </c>
      <c r="K8" s="853"/>
      <c r="L8" s="853"/>
      <c r="M8" s="118"/>
      <c r="N8" s="118"/>
      <c r="O8" s="118"/>
    </row>
    <row r="9" spans="1:15" ht="63.75">
      <c r="A9" s="848"/>
      <c r="B9" s="848"/>
      <c r="C9" s="848"/>
      <c r="D9" s="119" t="s">
        <v>437</v>
      </c>
      <c r="E9" s="119" t="s">
        <v>438</v>
      </c>
      <c r="F9" s="119" t="s">
        <v>439</v>
      </c>
      <c r="G9" s="119" t="s">
        <v>437</v>
      </c>
      <c r="H9" s="119" t="s">
        <v>438</v>
      </c>
      <c r="I9" s="119" t="s">
        <v>439</v>
      </c>
      <c r="J9" s="119" t="s">
        <v>437</v>
      </c>
      <c r="K9" s="119" t="s">
        <v>438</v>
      </c>
      <c r="L9" s="119" t="s">
        <v>439</v>
      </c>
      <c r="M9" s="120"/>
      <c r="N9" s="120"/>
      <c r="O9" s="120"/>
    </row>
    <row r="10" spans="1:15" s="224" customFormat="1" ht="54.75" customHeight="1">
      <c r="A10" s="232" t="s">
        <v>22</v>
      </c>
      <c r="B10" s="455" t="s">
        <v>777</v>
      </c>
      <c r="C10" s="457" t="s">
        <v>443</v>
      </c>
      <c r="D10" s="458">
        <v>230</v>
      </c>
      <c r="E10" s="459" t="s">
        <v>441</v>
      </c>
      <c r="F10" s="460">
        <v>17709469.079999998</v>
      </c>
      <c r="G10" s="233">
        <v>230</v>
      </c>
      <c r="H10" s="228" t="s">
        <v>441</v>
      </c>
      <c r="I10" s="228">
        <v>14371216.810000001</v>
      </c>
      <c r="J10" s="233">
        <v>230</v>
      </c>
      <c r="K10" s="228" t="s">
        <v>441</v>
      </c>
      <c r="L10" s="228">
        <v>12448407.32</v>
      </c>
      <c r="M10" s="239" t="s">
        <v>657</v>
      </c>
    </row>
    <row r="11" spans="1:15" s="224" customFormat="1" ht="55.5" customHeight="1">
      <c r="A11" s="232" t="s">
        <v>23</v>
      </c>
      <c r="B11" s="455" t="s">
        <v>778</v>
      </c>
      <c r="C11" s="457" t="s">
        <v>443</v>
      </c>
      <c r="D11" s="458">
        <v>147</v>
      </c>
      <c r="E11" s="459" t="s">
        <v>441</v>
      </c>
      <c r="F11" s="460">
        <v>12055738.26</v>
      </c>
      <c r="G11" s="233">
        <v>147</v>
      </c>
      <c r="H11" s="228" t="s">
        <v>441</v>
      </c>
      <c r="I11" s="228">
        <v>9705046.9199999999</v>
      </c>
      <c r="J11" s="233">
        <v>147</v>
      </c>
      <c r="K11" s="228" t="s">
        <v>441</v>
      </c>
      <c r="L11" s="228">
        <v>8790182.3699999992</v>
      </c>
      <c r="M11" s="239" t="s">
        <v>657</v>
      </c>
    </row>
    <row r="12" spans="1:15" s="224" customFormat="1" ht="66.75" customHeight="1">
      <c r="A12" s="232" t="s">
        <v>24</v>
      </c>
      <c r="B12" s="455" t="s">
        <v>782</v>
      </c>
      <c r="C12" s="461" t="s">
        <v>443</v>
      </c>
      <c r="D12" s="458">
        <v>14</v>
      </c>
      <c r="E12" s="459" t="s">
        <v>441</v>
      </c>
      <c r="F12" s="460">
        <v>1302427.43</v>
      </c>
      <c r="G12" s="233">
        <v>14</v>
      </c>
      <c r="H12" s="228" t="s">
        <v>441</v>
      </c>
      <c r="I12" s="228">
        <v>1078053.18</v>
      </c>
      <c r="J12" s="233">
        <v>14</v>
      </c>
      <c r="K12" s="228" t="s">
        <v>441</v>
      </c>
      <c r="L12" s="228">
        <v>968772.36</v>
      </c>
      <c r="M12" s="239" t="s">
        <v>657</v>
      </c>
    </row>
    <row r="13" spans="1:15" s="224" customFormat="1" ht="74.25" customHeight="1">
      <c r="A13" s="232" t="s">
        <v>25</v>
      </c>
      <c r="B13" s="455" t="s">
        <v>783</v>
      </c>
      <c r="C13" s="462" t="s">
        <v>772</v>
      </c>
      <c r="D13" s="458">
        <v>12</v>
      </c>
      <c r="E13" s="459" t="s">
        <v>441</v>
      </c>
      <c r="F13" s="460">
        <v>1269853.54</v>
      </c>
      <c r="G13" s="234">
        <v>12</v>
      </c>
      <c r="H13" s="228" t="s">
        <v>441</v>
      </c>
      <c r="I13" s="228">
        <v>1038608.04</v>
      </c>
      <c r="J13" s="234">
        <v>12</v>
      </c>
      <c r="K13" s="228" t="s">
        <v>441</v>
      </c>
      <c r="L13" s="228">
        <v>948596.84</v>
      </c>
      <c r="M13" s="239" t="s">
        <v>657</v>
      </c>
    </row>
    <row r="14" spans="1:15" s="224" customFormat="1" ht="59.25" customHeight="1">
      <c r="A14" s="232" t="s">
        <v>26</v>
      </c>
      <c r="B14" s="455" t="s">
        <v>784</v>
      </c>
      <c r="C14" s="463" t="s">
        <v>773</v>
      </c>
      <c r="D14" s="458">
        <v>6</v>
      </c>
      <c r="E14" s="459" t="s">
        <v>441</v>
      </c>
      <c r="F14" s="460">
        <v>2230547.09</v>
      </c>
      <c r="G14" s="234">
        <v>6</v>
      </c>
      <c r="H14" s="347" t="s">
        <v>441</v>
      </c>
      <c r="I14" s="347">
        <v>1747510.27</v>
      </c>
      <c r="J14" s="234">
        <v>6</v>
      </c>
      <c r="K14" s="347" t="s">
        <v>441</v>
      </c>
      <c r="L14" s="347">
        <v>1641568.11</v>
      </c>
      <c r="M14" s="239"/>
    </row>
    <row r="15" spans="1:15" s="224" customFormat="1" ht="56.25" customHeight="1">
      <c r="A15" s="232" t="s">
        <v>27</v>
      </c>
      <c r="B15" s="455" t="s">
        <v>779</v>
      </c>
      <c r="C15" s="463" t="s">
        <v>773</v>
      </c>
      <c r="D15" s="458">
        <v>0</v>
      </c>
      <c r="E15" s="459"/>
      <c r="F15" s="460">
        <v>0</v>
      </c>
      <c r="G15" s="230">
        <v>1</v>
      </c>
      <c r="H15" s="228"/>
      <c r="I15" s="228">
        <v>604629.80000000005</v>
      </c>
      <c r="J15" s="230">
        <v>0</v>
      </c>
      <c r="K15" s="228"/>
      <c r="L15" s="228">
        <v>0</v>
      </c>
      <c r="M15" s="239"/>
      <c r="N15" s="239" t="s">
        <v>658</v>
      </c>
      <c r="O15" s="236"/>
    </row>
    <row r="16" spans="1:15" s="224" customFormat="1" ht="57.75" customHeight="1">
      <c r="A16" s="232" t="s">
        <v>28</v>
      </c>
      <c r="B16" s="455" t="s">
        <v>780</v>
      </c>
      <c r="C16" s="463" t="s">
        <v>773</v>
      </c>
      <c r="D16" s="458">
        <v>20</v>
      </c>
      <c r="E16" s="459"/>
      <c r="F16" s="460">
        <v>587384.48</v>
      </c>
      <c r="G16" s="230">
        <v>20</v>
      </c>
      <c r="H16" s="228"/>
      <c r="I16" s="228">
        <v>266664.08</v>
      </c>
      <c r="J16" s="230">
        <v>20</v>
      </c>
      <c r="K16" s="228"/>
      <c r="L16" s="228">
        <v>397859.09</v>
      </c>
      <c r="M16" s="239"/>
      <c r="N16" s="239" t="s">
        <v>658</v>
      </c>
      <c r="O16" s="236"/>
    </row>
    <row r="17" spans="1:15" s="224" customFormat="1" ht="54" customHeight="1">
      <c r="A17" s="232" t="s">
        <v>29</v>
      </c>
      <c r="B17" s="455" t="s">
        <v>781</v>
      </c>
      <c r="C17" s="463" t="s">
        <v>774</v>
      </c>
      <c r="D17" s="458">
        <v>200</v>
      </c>
      <c r="E17" s="459"/>
      <c r="F17" s="460">
        <v>558206.39</v>
      </c>
      <c r="G17" s="230">
        <v>200</v>
      </c>
      <c r="H17" s="228"/>
      <c r="I17" s="228">
        <v>511031.73</v>
      </c>
      <c r="J17" s="230">
        <v>200</v>
      </c>
      <c r="K17" s="228"/>
      <c r="L17" s="228">
        <v>399950.62</v>
      </c>
      <c r="M17" s="239"/>
      <c r="N17" s="239" t="s">
        <v>658</v>
      </c>
      <c r="O17" s="236"/>
    </row>
    <row r="18" spans="1:15" s="224" customFormat="1" ht="57" customHeight="1">
      <c r="A18" s="232" t="s">
        <v>222</v>
      </c>
      <c r="B18" s="455" t="s">
        <v>785</v>
      </c>
      <c r="C18" s="463" t="s">
        <v>775</v>
      </c>
      <c r="D18" s="458">
        <v>4</v>
      </c>
      <c r="E18" s="459"/>
      <c r="F18" s="460">
        <v>28673778.43</v>
      </c>
      <c r="G18" s="230">
        <v>4</v>
      </c>
      <c r="H18" s="228"/>
      <c r="I18" s="228">
        <v>21863742.120000001</v>
      </c>
      <c r="J18" s="230">
        <v>4</v>
      </c>
      <c r="K18" s="228"/>
      <c r="L18" s="228">
        <v>20754414.370000001</v>
      </c>
      <c r="M18" s="239"/>
      <c r="N18" s="239" t="s">
        <v>658</v>
      </c>
      <c r="O18" s="236"/>
    </row>
    <row r="19" spans="1:15" s="224" customFormat="1" ht="25.5">
      <c r="A19" s="232" t="s">
        <v>743</v>
      </c>
      <c r="B19" s="456" t="s">
        <v>771</v>
      </c>
      <c r="C19" s="463" t="s">
        <v>127</v>
      </c>
      <c r="D19" s="458" t="s">
        <v>127</v>
      </c>
      <c r="E19" s="459" t="s">
        <v>441</v>
      </c>
      <c r="F19" s="460">
        <v>0</v>
      </c>
      <c r="G19" s="231" t="s">
        <v>127</v>
      </c>
      <c r="H19" s="240" t="s">
        <v>441</v>
      </c>
      <c r="I19" s="240">
        <v>0</v>
      </c>
      <c r="J19" s="231" t="s">
        <v>127</v>
      </c>
      <c r="K19" s="228" t="s">
        <v>441</v>
      </c>
      <c r="L19" s="228">
        <v>0</v>
      </c>
      <c r="M19" s="239"/>
      <c r="N19" s="239" t="s">
        <v>658</v>
      </c>
      <c r="O19" s="236"/>
    </row>
    <row r="20" spans="1:15" s="224" customFormat="1">
      <c r="A20" s="237"/>
      <c r="B20" s="238" t="s">
        <v>445</v>
      </c>
      <c r="C20" s="466" t="s">
        <v>32</v>
      </c>
      <c r="D20" s="466" t="s">
        <v>32</v>
      </c>
      <c r="E20" s="466" t="s">
        <v>32</v>
      </c>
      <c r="F20" s="464">
        <f>SUM(F10:F19)</f>
        <v>64387404.700000003</v>
      </c>
      <c r="G20" s="466" t="s">
        <v>32</v>
      </c>
      <c r="H20" s="466" t="s">
        <v>32</v>
      </c>
      <c r="I20" s="464">
        <f>SUM(I10:I19)</f>
        <v>51186502.950000003</v>
      </c>
      <c r="J20" s="466" t="s">
        <v>32</v>
      </c>
      <c r="K20" s="467" t="s">
        <v>32</v>
      </c>
      <c r="L20" s="465">
        <f>SUM(L10:L19)</f>
        <v>46349751.079999998</v>
      </c>
    </row>
    <row r="21" spans="1:15" ht="17.25">
      <c r="A21" s="121"/>
    </row>
    <row r="22" spans="1:15" ht="15.75">
      <c r="A22" s="841" t="s">
        <v>446</v>
      </c>
      <c r="B22" s="841"/>
      <c r="C22" s="841"/>
      <c r="D22" s="841"/>
      <c r="E22" s="841"/>
      <c r="F22" s="841"/>
      <c r="G22" s="841"/>
      <c r="H22" s="841"/>
      <c r="I22" s="841"/>
      <c r="J22" s="841"/>
      <c r="K22" s="841"/>
      <c r="L22" s="841"/>
    </row>
    <row r="23" spans="1:15" ht="15.75">
      <c r="A23" s="117" t="s">
        <v>661</v>
      </c>
      <c r="B23" s="117"/>
      <c r="C23" s="117"/>
      <c r="D23" s="117"/>
      <c r="E23" s="117"/>
      <c r="F23" s="117"/>
      <c r="G23" s="117"/>
      <c r="H23" s="117"/>
      <c r="I23" s="117"/>
      <c r="J23" s="117"/>
      <c r="K23" s="117"/>
      <c r="L23" s="117"/>
    </row>
    <row r="24" spans="1:15" ht="15.75">
      <c r="A24" s="2"/>
      <c r="B24" s="2"/>
      <c r="C24" s="2"/>
      <c r="D24" s="2"/>
      <c r="E24" s="2"/>
      <c r="F24" s="2"/>
      <c r="G24" s="2"/>
      <c r="H24" s="2"/>
      <c r="I24" s="2"/>
      <c r="J24" s="2"/>
      <c r="K24" s="2"/>
      <c r="L24" s="2"/>
    </row>
    <row r="25" spans="1:15" ht="15" customHeight="1">
      <c r="A25" s="848" t="s">
        <v>431</v>
      </c>
      <c r="B25" s="848" t="s">
        <v>432</v>
      </c>
      <c r="C25" s="848" t="s">
        <v>433</v>
      </c>
      <c r="D25" s="849" t="s">
        <v>744</v>
      </c>
      <c r="E25" s="850"/>
      <c r="F25" s="851"/>
      <c r="G25" s="849" t="s">
        <v>745</v>
      </c>
      <c r="H25" s="850"/>
      <c r="I25" s="851"/>
      <c r="J25" s="849" t="s">
        <v>746</v>
      </c>
      <c r="K25" s="850"/>
      <c r="L25" s="851"/>
    </row>
    <row r="26" spans="1:15" ht="63.75">
      <c r="A26" s="848"/>
      <c r="B26" s="848"/>
      <c r="C26" s="848"/>
      <c r="D26" s="119" t="s">
        <v>437</v>
      </c>
      <c r="E26" s="119" t="s">
        <v>438</v>
      </c>
      <c r="F26" s="119" t="s">
        <v>439</v>
      </c>
      <c r="G26" s="119" t="s">
        <v>437</v>
      </c>
      <c r="H26" s="119" t="s">
        <v>438</v>
      </c>
      <c r="I26" s="119" t="s">
        <v>439</v>
      </c>
      <c r="J26" s="119" t="s">
        <v>437</v>
      </c>
      <c r="K26" s="119" t="s">
        <v>438</v>
      </c>
      <c r="L26" s="119" t="s">
        <v>439</v>
      </c>
    </row>
    <row r="27" spans="1:15" s="224" customFormat="1" ht="51">
      <c r="A27" s="226" t="s">
        <v>440</v>
      </c>
      <c r="B27" s="229" t="s">
        <v>777</v>
      </c>
      <c r="C27" s="226" t="s">
        <v>443</v>
      </c>
      <c r="D27" s="230">
        <v>230</v>
      </c>
      <c r="E27" s="228">
        <v>281.25</v>
      </c>
      <c r="F27" s="228">
        <v>9208000</v>
      </c>
      <c r="G27" s="230">
        <v>230</v>
      </c>
      <c r="H27" s="228">
        <v>281.25</v>
      </c>
      <c r="I27" s="228">
        <v>9208000</v>
      </c>
      <c r="J27" s="230">
        <v>230</v>
      </c>
      <c r="K27" s="228">
        <v>281.25</v>
      </c>
      <c r="L27" s="228">
        <v>9208000</v>
      </c>
    </row>
    <row r="28" spans="1:15" s="224" customFormat="1" ht="51">
      <c r="A28" s="232" t="s">
        <v>442</v>
      </c>
      <c r="B28" s="229" t="s">
        <v>778</v>
      </c>
      <c r="C28" s="226" t="s">
        <v>443</v>
      </c>
      <c r="D28" s="233">
        <v>147</v>
      </c>
      <c r="E28" s="228">
        <v>344.94</v>
      </c>
      <c r="F28" s="228">
        <v>1942000</v>
      </c>
      <c r="G28" s="233">
        <v>147</v>
      </c>
      <c r="H28" s="228">
        <v>344.94</v>
      </c>
      <c r="I28" s="228">
        <v>1942000</v>
      </c>
      <c r="J28" s="233">
        <v>147</v>
      </c>
      <c r="K28" s="228">
        <v>344.94</v>
      </c>
      <c r="L28" s="228">
        <v>1942000</v>
      </c>
    </row>
    <row r="29" spans="1:15" s="224" customFormat="1" ht="51">
      <c r="A29" s="232" t="s">
        <v>444</v>
      </c>
      <c r="B29" s="229" t="s">
        <v>779</v>
      </c>
      <c r="C29" s="226" t="s">
        <v>773</v>
      </c>
      <c r="D29" s="234">
        <v>0</v>
      </c>
      <c r="E29" s="228">
        <v>0</v>
      </c>
      <c r="F29" s="235">
        <v>0</v>
      </c>
      <c r="G29" s="234">
        <v>1</v>
      </c>
      <c r="H29" s="228">
        <v>0</v>
      </c>
      <c r="I29" s="235">
        <v>135000</v>
      </c>
      <c r="J29" s="234">
        <v>0</v>
      </c>
      <c r="K29" s="228">
        <v>0</v>
      </c>
      <c r="L29" s="235">
        <v>0</v>
      </c>
    </row>
    <row r="30" spans="1:15" s="224" customFormat="1" ht="51">
      <c r="A30" s="232" t="s">
        <v>447</v>
      </c>
      <c r="B30" s="229" t="s">
        <v>780</v>
      </c>
      <c r="C30" s="226" t="s">
        <v>773</v>
      </c>
      <c r="D30" s="234">
        <v>20</v>
      </c>
      <c r="E30" s="228">
        <v>250</v>
      </c>
      <c r="F30" s="235">
        <v>250000</v>
      </c>
      <c r="G30" s="234">
        <v>20</v>
      </c>
      <c r="H30" s="228">
        <v>250</v>
      </c>
      <c r="I30" s="235">
        <v>115000</v>
      </c>
      <c r="J30" s="234">
        <v>20</v>
      </c>
      <c r="K30" s="228">
        <v>250</v>
      </c>
      <c r="L30" s="235">
        <v>250000</v>
      </c>
    </row>
    <row r="31" spans="1:15" s="224" customFormat="1" ht="51">
      <c r="A31" s="232" t="s">
        <v>786</v>
      </c>
      <c r="B31" s="434" t="s">
        <v>781</v>
      </c>
      <c r="C31" s="226" t="s">
        <v>776</v>
      </c>
      <c r="D31" s="234">
        <v>200</v>
      </c>
      <c r="E31" s="235">
        <v>450</v>
      </c>
      <c r="F31" s="235">
        <v>90000</v>
      </c>
      <c r="G31" s="234">
        <v>200</v>
      </c>
      <c r="H31" s="235">
        <v>450</v>
      </c>
      <c r="I31" s="235">
        <v>90000</v>
      </c>
      <c r="J31" s="234">
        <v>200</v>
      </c>
      <c r="K31" s="235">
        <v>450</v>
      </c>
      <c r="L31" s="235">
        <v>90000</v>
      </c>
    </row>
    <row r="32" spans="1:15" s="224" customFormat="1" ht="24" customHeight="1">
      <c r="A32" s="237"/>
      <c r="B32" s="241" t="s">
        <v>445</v>
      </c>
      <c r="C32" s="468" t="s">
        <v>32</v>
      </c>
      <c r="D32" s="469" t="s">
        <v>32</v>
      </c>
      <c r="E32" s="469" t="s">
        <v>32</v>
      </c>
      <c r="F32" s="242">
        <f>SUM(F27:F31)</f>
        <v>11490000</v>
      </c>
      <c r="G32" s="469" t="s">
        <v>32</v>
      </c>
      <c r="H32" s="469" t="s">
        <v>32</v>
      </c>
      <c r="I32" s="242">
        <f>SUM(I27:I31)</f>
        <v>11490000</v>
      </c>
      <c r="J32" s="469" t="s">
        <v>32</v>
      </c>
      <c r="K32" s="469" t="s">
        <v>32</v>
      </c>
      <c r="L32" s="242">
        <f>SUM(L27:L31)</f>
        <v>11490000</v>
      </c>
    </row>
    <row r="33" spans="1:15" ht="15.75">
      <c r="A33" s="122"/>
    </row>
    <row r="34" spans="1:15" ht="15.75" hidden="1">
      <c r="A34" s="840" t="s">
        <v>448</v>
      </c>
      <c r="B34" s="840"/>
      <c r="C34" s="840"/>
      <c r="D34" s="840"/>
      <c r="E34" s="840"/>
      <c r="F34" s="840"/>
      <c r="G34" s="840"/>
      <c r="H34" s="840"/>
      <c r="I34" s="840"/>
      <c r="J34" s="840"/>
      <c r="K34" s="840"/>
      <c r="L34" s="840"/>
    </row>
    <row r="35" spans="1:15" ht="15.75" hidden="1">
      <c r="A35" s="841" t="s">
        <v>430</v>
      </c>
      <c r="B35" s="841"/>
      <c r="C35" s="841"/>
      <c r="D35" s="841"/>
      <c r="E35" s="841"/>
      <c r="F35" s="841"/>
      <c r="G35" s="841"/>
      <c r="H35" s="841"/>
      <c r="I35" s="841"/>
      <c r="J35" s="841"/>
      <c r="K35" s="841"/>
      <c r="L35" s="841"/>
    </row>
    <row r="36" spans="1:15" ht="15.75" hidden="1">
      <c r="A36" s="117" t="s">
        <v>661</v>
      </c>
      <c r="B36" s="117"/>
      <c r="C36" s="117"/>
      <c r="D36" s="117"/>
      <c r="E36" s="117"/>
      <c r="F36" s="117"/>
      <c r="G36" s="117"/>
      <c r="H36" s="117"/>
      <c r="I36" s="117"/>
      <c r="J36" s="117"/>
      <c r="K36" s="117"/>
      <c r="L36" s="117"/>
    </row>
    <row r="37" spans="1:15" ht="9.75" hidden="1" customHeight="1">
      <c r="A37" s="123"/>
      <c r="B37" s="124"/>
      <c r="C37" s="125"/>
      <c r="D37" s="126"/>
      <c r="E37" s="127"/>
      <c r="F37" s="127"/>
      <c r="G37" s="126"/>
      <c r="H37" s="127"/>
      <c r="I37" s="127"/>
      <c r="J37" s="126"/>
      <c r="K37" s="127"/>
      <c r="L37" s="127"/>
    </row>
    <row r="38" spans="1:15" ht="37.5" hidden="1" customHeight="1">
      <c r="A38" s="128" t="s">
        <v>431</v>
      </c>
      <c r="B38" s="853" t="s">
        <v>449</v>
      </c>
      <c r="C38" s="853"/>
      <c r="D38" s="853"/>
      <c r="E38" s="853"/>
      <c r="F38" s="334" t="s">
        <v>433</v>
      </c>
      <c r="G38" s="846" t="s">
        <v>750</v>
      </c>
      <c r="H38" s="846"/>
      <c r="I38" s="846" t="s">
        <v>751</v>
      </c>
      <c r="J38" s="846"/>
      <c r="K38" s="846" t="s">
        <v>752</v>
      </c>
      <c r="L38" s="846"/>
    </row>
    <row r="39" spans="1:15" s="224" customFormat="1" ht="27.75" hidden="1" customHeight="1">
      <c r="A39" s="223" t="s">
        <v>440</v>
      </c>
      <c r="B39" s="844" t="s">
        <v>720</v>
      </c>
      <c r="C39" s="844"/>
      <c r="D39" s="844"/>
      <c r="E39" s="844"/>
      <c r="F39" s="226" t="s">
        <v>450</v>
      </c>
      <c r="G39" s="847">
        <v>200936.22</v>
      </c>
      <c r="H39" s="847"/>
      <c r="I39" s="847">
        <v>81611.22</v>
      </c>
      <c r="J39" s="847"/>
      <c r="K39" s="847">
        <v>81611.22</v>
      </c>
      <c r="L39" s="847"/>
    </row>
    <row r="40" spans="1:15" s="224" customFormat="1" ht="16.5" hidden="1" customHeight="1">
      <c r="A40" s="223" t="s">
        <v>23</v>
      </c>
      <c r="B40" s="844" t="s">
        <v>721</v>
      </c>
      <c r="C40" s="844"/>
      <c r="D40" s="844"/>
      <c r="E40" s="844"/>
      <c r="F40" s="226" t="s">
        <v>450</v>
      </c>
      <c r="G40" s="843">
        <f>1196105.26</f>
        <v>1196105.26</v>
      </c>
      <c r="H40" s="843"/>
      <c r="I40" s="843">
        <v>0</v>
      </c>
      <c r="J40" s="843"/>
      <c r="K40" s="843">
        <v>0</v>
      </c>
      <c r="L40" s="843"/>
      <c r="M40" s="227"/>
    </row>
    <row r="41" spans="1:15" hidden="1">
      <c r="A41" s="129"/>
      <c r="B41" s="845" t="s">
        <v>445</v>
      </c>
      <c r="C41" s="845"/>
      <c r="D41" s="845"/>
      <c r="E41" s="845"/>
      <c r="F41" s="130"/>
      <c r="G41" s="843">
        <f>SUM(E39:G40)</f>
        <v>1397041.48</v>
      </c>
      <c r="H41" s="843"/>
      <c r="I41" s="843">
        <f>SUM(H39:I40)</f>
        <v>81611.22</v>
      </c>
      <c r="J41" s="843"/>
      <c r="K41" s="843">
        <f>SUM(K39:L40)</f>
        <v>81611.22</v>
      </c>
      <c r="L41" s="843"/>
    </row>
    <row r="42" spans="1:15" hidden="1">
      <c r="A42" s="131"/>
      <c r="B42" s="132"/>
      <c r="C42" s="133"/>
      <c r="D42" s="127"/>
      <c r="E42" s="127"/>
      <c r="F42" s="127"/>
      <c r="G42" s="127"/>
      <c r="H42" s="127"/>
      <c r="I42" s="127"/>
      <c r="J42" s="127"/>
      <c r="K42" s="127"/>
      <c r="L42" s="127"/>
    </row>
    <row r="43" spans="1:15" ht="15.75" hidden="1">
      <c r="A43" s="362" t="s">
        <v>451</v>
      </c>
      <c r="B43" s="363"/>
      <c r="C43" s="363"/>
      <c r="D43" s="363"/>
      <c r="E43" s="363"/>
      <c r="F43" s="363"/>
      <c r="G43" s="363"/>
      <c r="H43" s="363"/>
      <c r="I43" s="363"/>
      <c r="J43" s="363"/>
      <c r="K43" s="363"/>
      <c r="L43" s="363"/>
    </row>
    <row r="44" spans="1:15" ht="15.75" hidden="1">
      <c r="A44" s="842" t="s">
        <v>660</v>
      </c>
      <c r="B44" s="842"/>
      <c r="C44" s="842"/>
      <c r="D44" s="842"/>
      <c r="E44" s="842"/>
      <c r="F44" s="842"/>
      <c r="G44" s="842"/>
      <c r="H44" s="842"/>
      <c r="I44" s="842"/>
      <c r="J44" s="842"/>
      <c r="K44" s="842"/>
      <c r="L44" s="842"/>
    </row>
    <row r="45" spans="1:15" ht="15.75" hidden="1">
      <c r="A45" s="364" t="s">
        <v>662</v>
      </c>
      <c r="B45" s="364"/>
      <c r="C45" s="364"/>
      <c r="D45" s="364"/>
      <c r="E45" s="364"/>
      <c r="F45" s="364"/>
      <c r="G45" s="364"/>
      <c r="H45" s="364"/>
      <c r="I45" s="364"/>
      <c r="J45" s="364"/>
      <c r="K45" s="364"/>
      <c r="L45" s="364"/>
    </row>
    <row r="46" spans="1:15" ht="9.75" hidden="1" customHeight="1">
      <c r="A46" s="365"/>
      <c r="B46" s="366"/>
      <c r="C46" s="367"/>
      <c r="D46" s="368"/>
      <c r="E46" s="369"/>
      <c r="F46" s="369"/>
      <c r="G46" s="368"/>
      <c r="H46" s="369"/>
      <c r="I46" s="369"/>
      <c r="J46" s="368"/>
      <c r="K46" s="369"/>
      <c r="L46" s="369"/>
    </row>
    <row r="47" spans="1:15" ht="25.5" hidden="1">
      <c r="A47" s="370" t="s">
        <v>307</v>
      </c>
      <c r="B47" s="858" t="s">
        <v>452</v>
      </c>
      <c r="C47" s="858"/>
      <c r="D47" s="858"/>
      <c r="E47" s="858"/>
      <c r="F47" s="370" t="s">
        <v>453</v>
      </c>
      <c r="G47" s="858" t="s">
        <v>748</v>
      </c>
      <c r="H47" s="858"/>
      <c r="I47" s="858" t="s">
        <v>747</v>
      </c>
      <c r="J47" s="858"/>
      <c r="K47" s="858" t="s">
        <v>749</v>
      </c>
      <c r="L47" s="858"/>
    </row>
    <row r="48" spans="1:15" s="224" customFormat="1" ht="27.75" hidden="1" customHeight="1">
      <c r="A48" s="371" t="s">
        <v>440</v>
      </c>
      <c r="B48" s="859" t="s">
        <v>454</v>
      </c>
      <c r="C48" s="859"/>
      <c r="D48" s="859"/>
      <c r="E48" s="859"/>
      <c r="F48" s="372" t="s">
        <v>127</v>
      </c>
      <c r="G48" s="860">
        <v>0</v>
      </c>
      <c r="H48" s="860"/>
      <c r="I48" s="860">
        <v>0</v>
      </c>
      <c r="J48" s="860"/>
      <c r="K48" s="858">
        <v>0</v>
      </c>
      <c r="L48" s="858"/>
      <c r="M48" s="225"/>
      <c r="N48" s="225"/>
      <c r="O48" s="225"/>
    </row>
    <row r="49" spans="1:12" hidden="1">
      <c r="A49" s="135"/>
    </row>
    <row r="50" spans="1:12" ht="15.75" hidden="1">
      <c r="A50" s="116" t="s">
        <v>455</v>
      </c>
    </row>
    <row r="51" spans="1:12" ht="15.75" hidden="1">
      <c r="A51" s="117" t="s">
        <v>661</v>
      </c>
      <c r="B51" s="117"/>
      <c r="C51" s="117"/>
      <c r="D51" s="117"/>
      <c r="E51" s="117"/>
      <c r="F51" s="117"/>
      <c r="G51" s="117"/>
      <c r="H51" s="117"/>
      <c r="I51" s="117"/>
      <c r="J51" s="117"/>
      <c r="K51" s="117"/>
      <c r="L51" s="117"/>
    </row>
    <row r="52" spans="1:12" ht="5.25" hidden="1" customHeight="1"/>
    <row r="53" spans="1:12" ht="25.5" hidden="1" customHeight="1">
      <c r="A53" s="136" t="s">
        <v>307</v>
      </c>
      <c r="B53" s="848" t="s">
        <v>452</v>
      </c>
      <c r="C53" s="848"/>
      <c r="D53" s="848"/>
      <c r="E53" s="848"/>
      <c r="F53" s="333" t="s">
        <v>453</v>
      </c>
      <c r="G53" s="854" t="s">
        <v>748</v>
      </c>
      <c r="H53" s="855"/>
      <c r="I53" s="854" t="s">
        <v>747</v>
      </c>
      <c r="J53" s="855"/>
      <c r="K53" s="854" t="s">
        <v>749</v>
      </c>
      <c r="L53" s="855"/>
    </row>
    <row r="54" spans="1:12" ht="30.75" hidden="1" customHeight="1">
      <c r="A54" s="136" t="s">
        <v>440</v>
      </c>
      <c r="B54" s="857" t="s">
        <v>455</v>
      </c>
      <c r="C54" s="857"/>
      <c r="D54" s="857"/>
      <c r="E54" s="857"/>
      <c r="F54" s="136" t="s">
        <v>127</v>
      </c>
      <c r="G54" s="856">
        <v>0</v>
      </c>
      <c r="H54" s="856"/>
      <c r="I54" s="856">
        <v>0</v>
      </c>
      <c r="J54" s="856"/>
      <c r="K54" s="856">
        <v>0</v>
      </c>
      <c r="L54" s="856"/>
    </row>
    <row r="55" spans="1:12" ht="20.25" hidden="1">
      <c r="C55" s="16"/>
      <c r="D55" s="16"/>
      <c r="E55" s="16"/>
      <c r="F55" s="16"/>
      <c r="H55" s="16"/>
      <c r="I55" s="16"/>
    </row>
    <row r="56" spans="1:12" ht="15.75" hidden="1">
      <c r="A56" s="117" t="s">
        <v>662</v>
      </c>
      <c r="B56" s="117"/>
      <c r="C56" s="117"/>
      <c r="D56" s="117"/>
      <c r="E56" s="117"/>
      <c r="F56" s="117"/>
      <c r="G56" s="117"/>
      <c r="H56" s="117"/>
      <c r="I56" s="117"/>
      <c r="J56" s="117"/>
      <c r="K56" s="117"/>
      <c r="L56" s="117"/>
    </row>
    <row r="57" spans="1:12" ht="5.25" hidden="1" customHeight="1"/>
    <row r="58" spans="1:12" ht="40.5" hidden="1" customHeight="1">
      <c r="A58" s="136" t="s">
        <v>307</v>
      </c>
      <c r="B58" s="848" t="s">
        <v>452</v>
      </c>
      <c r="C58" s="848"/>
      <c r="D58" s="848"/>
      <c r="E58" s="848"/>
      <c r="F58" s="333" t="s">
        <v>453</v>
      </c>
      <c r="G58" s="854" t="s">
        <v>748</v>
      </c>
      <c r="H58" s="855"/>
      <c r="I58" s="854" t="s">
        <v>747</v>
      </c>
      <c r="J58" s="855"/>
      <c r="K58" s="854" t="s">
        <v>749</v>
      </c>
      <c r="L58" s="855"/>
    </row>
    <row r="59" spans="1:12" ht="30" hidden="1" customHeight="1">
      <c r="A59" s="136" t="s">
        <v>440</v>
      </c>
      <c r="B59" s="857" t="s">
        <v>455</v>
      </c>
      <c r="C59" s="857"/>
      <c r="D59" s="857"/>
      <c r="E59" s="857"/>
      <c r="F59" s="136" t="s">
        <v>127</v>
      </c>
      <c r="G59" s="856">
        <v>0</v>
      </c>
      <c r="H59" s="856"/>
      <c r="I59" s="856">
        <v>0</v>
      </c>
      <c r="J59" s="856"/>
      <c r="K59" s="856">
        <v>0</v>
      </c>
      <c r="L59" s="856"/>
    </row>
    <row r="61" spans="1:12" ht="20.25">
      <c r="B61" s="16" t="s">
        <v>179</v>
      </c>
      <c r="G61" s="16" t="s">
        <v>180</v>
      </c>
    </row>
    <row r="64" spans="1:12">
      <c r="G64" s="328">
        <f>G41+F20</f>
        <v>65784446.18</v>
      </c>
      <c r="I64" s="328">
        <f>I41+I20</f>
        <v>51268114.170000002</v>
      </c>
      <c r="K64" s="328">
        <f>L20+K41</f>
        <v>46431362.299999997</v>
      </c>
    </row>
    <row r="276" spans="6:7">
      <c r="F276" s="328" t="e">
        <f>#REF!+#REF!+#REF!+'Лист7(214,266)'!E10+'Лист7(214,266)'!F33+'Лист7(214,266)'!E65+#REF!+#REF!+#REF!+#REF!+#REF!+#REF!+#REF!+'Лист11(225)'!F19+'Лист11(225)'!G35+'Лист11(225)'!G64+'Лист12(224,225,226,310,342-349'!G36+'Лист12(224,225,226,310,342-349'!G70+'Лист12(224,225,226,310,342-349'!G80+'Лист12(224,225,226,310,342-349'!G165+'Лист12(224,225,226,310,342-349'!G220+'Лист12(224,225,226,310,342-349'!G230+'Лист12(224,225,226,310,342-349'!G240+'Лист6(211,212,226,266)'!E56+#REF!+F177</f>
        <v>#REF!</v>
      </c>
      <c r="G276" s="328" t="e">
        <f>#REF!+#REF!+#REF!+'Лист7(214,266)'!H10+'Лист7(214,266)'!J33+'Лист7(214,266)'!H65+#REF!+#REF!+#REF!+#REF!+#REF!+#REF!+#REF!+'Лист11(225)'!J19+'Лист11(225)'!K35+'Лист11(225)'!K64+'Лист12(224,225,226,310,342-349'!K36+'Лист12(224,225,226,310,342-349'!J70+'Лист12(224,225,226,310,342-349'!J80+'Лист12(224,225,226,310,342-349'!J165</f>
        <v>#REF!</v>
      </c>
    </row>
  </sheetData>
  <mergeCells count="60">
    <mergeCell ref="K39:L39"/>
    <mergeCell ref="B38:E38"/>
    <mergeCell ref="B39:E39"/>
    <mergeCell ref="K53:L53"/>
    <mergeCell ref="K54:L54"/>
    <mergeCell ref="B47:E47"/>
    <mergeCell ref="B48:E48"/>
    <mergeCell ref="G47:H47"/>
    <mergeCell ref="I47:J47"/>
    <mergeCell ref="K47:L47"/>
    <mergeCell ref="G48:H48"/>
    <mergeCell ref="I48:J48"/>
    <mergeCell ref="K48:L48"/>
    <mergeCell ref="K58:L58"/>
    <mergeCell ref="K59:L59"/>
    <mergeCell ref="B53:E53"/>
    <mergeCell ref="B54:E54"/>
    <mergeCell ref="G53:H53"/>
    <mergeCell ref="G54:H54"/>
    <mergeCell ref="I53:J53"/>
    <mergeCell ref="I54:J54"/>
    <mergeCell ref="B58:E58"/>
    <mergeCell ref="B59:E59"/>
    <mergeCell ref="G58:H58"/>
    <mergeCell ref="G59:H59"/>
    <mergeCell ref="I58:J58"/>
    <mergeCell ref="I59:J59"/>
    <mergeCell ref="A1:L1"/>
    <mergeCell ref="A2:L2"/>
    <mergeCell ref="M2:O2"/>
    <mergeCell ref="A5:L5"/>
    <mergeCell ref="A8:A9"/>
    <mergeCell ref="B8:B9"/>
    <mergeCell ref="C8:C9"/>
    <mergeCell ref="D8:F8"/>
    <mergeCell ref="G8:I8"/>
    <mergeCell ref="J8:L8"/>
    <mergeCell ref="A22:L22"/>
    <mergeCell ref="A25:A26"/>
    <mergeCell ref="B25:B26"/>
    <mergeCell ref="C25:C26"/>
    <mergeCell ref="D25:F25"/>
    <mergeCell ref="G25:I25"/>
    <mergeCell ref="J25:L25"/>
    <mergeCell ref="A34:L34"/>
    <mergeCell ref="A35:L35"/>
    <mergeCell ref="A44:L44"/>
    <mergeCell ref="I40:J40"/>
    <mergeCell ref="K40:L40"/>
    <mergeCell ref="I41:J41"/>
    <mergeCell ref="K41:L41"/>
    <mergeCell ref="B40:E40"/>
    <mergeCell ref="B41:E41"/>
    <mergeCell ref="G38:H38"/>
    <mergeCell ref="G39:H39"/>
    <mergeCell ref="G40:H40"/>
    <mergeCell ref="G41:H41"/>
    <mergeCell ref="I38:J38"/>
    <mergeCell ref="K38:L38"/>
    <mergeCell ref="I39:J39"/>
  </mergeCells>
  <pageMargins left="0.78740157480314965" right="0.39370078740157483" top="0.39370078740157483" bottom="0.39370078740157483" header="0.31496062992125984" footer="0.31496062992125984"/>
  <pageSetup paperSize="9" scale="45"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pageSetUpPr fitToPage="1"/>
  </sheetPr>
  <dimension ref="A1:P274"/>
  <sheetViews>
    <sheetView view="pageBreakPreview" topLeftCell="A10" zoomScale="80" zoomScaleNormal="85" zoomScaleSheetLayoutView="80" workbookViewId="0">
      <selection activeCell="R50" sqref="R50"/>
    </sheetView>
  </sheetViews>
  <sheetFormatPr defaultRowHeight="12.75"/>
  <cols>
    <col min="1" max="1" width="9.140625" style="138" bestFit="1" customWidth="1"/>
    <col min="2" max="2" width="20.140625" style="138" bestFit="1" customWidth="1"/>
    <col min="3" max="3" width="14.7109375" style="138" customWidth="1"/>
    <col min="4" max="4" width="9.140625" style="138" bestFit="1"/>
    <col min="5" max="5" width="11" style="138" bestFit="1" customWidth="1"/>
    <col min="6" max="6" width="12.28515625" style="138" customWidth="1"/>
    <col min="7" max="7" width="12.7109375" style="138" bestFit="1" customWidth="1"/>
    <col min="8" max="8" width="9.140625" style="138" bestFit="1"/>
    <col min="9" max="9" width="14.42578125" style="138" customWidth="1"/>
    <col min="10" max="10" width="13.5703125" style="138" bestFit="1" customWidth="1"/>
    <col min="11" max="11" width="13.140625" style="138" bestFit="1" customWidth="1"/>
    <col min="12" max="13" width="9.140625" style="138" bestFit="1"/>
    <col min="14" max="14" width="12.5703125" style="138" bestFit="1" customWidth="1"/>
    <col min="15" max="15" width="9.140625" style="138" bestFit="1"/>
    <col min="16" max="16384" width="9.140625" style="138"/>
  </cols>
  <sheetData>
    <row r="1" spans="1:16" s="147" customFormat="1">
      <c r="A1" s="147" t="s">
        <v>460</v>
      </c>
    </row>
    <row r="2" spans="1:16" ht="5.25" customHeight="1"/>
    <row r="3" spans="1:16">
      <c r="A3" s="138" t="s">
        <v>461</v>
      </c>
    </row>
    <row r="4" spans="1:16">
      <c r="A4" s="138" t="s">
        <v>462</v>
      </c>
    </row>
    <row r="5" spans="1:16">
      <c r="A5" s="138" t="s">
        <v>470</v>
      </c>
    </row>
    <row r="6" spans="1:16" ht="25.5" customHeight="1">
      <c r="A6" s="848" t="s">
        <v>307</v>
      </c>
      <c r="B6" s="848" t="s">
        <v>465</v>
      </c>
      <c r="C6" s="848" t="s">
        <v>800</v>
      </c>
      <c r="D6" s="848"/>
      <c r="E6" s="848"/>
      <c r="F6" s="848"/>
      <c r="G6" s="848" t="s">
        <v>801</v>
      </c>
      <c r="H6" s="848"/>
      <c r="I6" s="848"/>
      <c r="J6" s="848"/>
      <c r="K6" s="848" t="s">
        <v>802</v>
      </c>
      <c r="L6" s="848"/>
      <c r="M6" s="848"/>
      <c r="N6" s="848"/>
    </row>
    <row r="7" spans="1:16" ht="79.5" customHeight="1">
      <c r="A7" s="848"/>
      <c r="B7" s="848"/>
      <c r="C7" s="119" t="s">
        <v>476</v>
      </c>
      <c r="D7" s="119" t="s">
        <v>477</v>
      </c>
      <c r="E7" s="119" t="s">
        <v>471</v>
      </c>
      <c r="F7" s="119" t="s">
        <v>468</v>
      </c>
      <c r="G7" s="119" t="s">
        <v>476</v>
      </c>
      <c r="H7" s="119" t="s">
        <v>477</v>
      </c>
      <c r="I7" s="119" t="s">
        <v>471</v>
      </c>
      <c r="J7" s="119" t="s">
        <v>468</v>
      </c>
      <c r="K7" s="119" t="s">
        <v>476</v>
      </c>
      <c r="L7" s="119" t="s">
        <v>477</v>
      </c>
      <c r="M7" s="119" t="s">
        <v>471</v>
      </c>
      <c r="N7" s="119" t="s">
        <v>468</v>
      </c>
    </row>
    <row r="8" spans="1:16" ht="51">
      <c r="A8" s="119">
        <v>1</v>
      </c>
      <c r="B8" s="144" t="s">
        <v>478</v>
      </c>
      <c r="C8" s="137">
        <f>F8/E8/D8</f>
        <v>2200</v>
      </c>
      <c r="D8" s="119">
        <v>6</v>
      </c>
      <c r="E8" s="119">
        <v>3</v>
      </c>
      <c r="F8" s="137">
        <v>39600</v>
      </c>
      <c r="G8" s="137">
        <v>2200</v>
      </c>
      <c r="H8" s="119">
        <v>6</v>
      </c>
      <c r="I8" s="119">
        <v>3</v>
      </c>
      <c r="J8" s="137">
        <f>G8*H8*I8</f>
        <v>39600</v>
      </c>
      <c r="K8" s="137">
        <v>2200</v>
      </c>
      <c r="L8" s="119">
        <v>6</v>
      </c>
      <c r="M8" s="119">
        <v>3</v>
      </c>
      <c r="N8" s="137">
        <f>K8*M8*L8</f>
        <v>39600</v>
      </c>
      <c r="O8" s="138" t="s">
        <v>736</v>
      </c>
    </row>
    <row r="9" spans="1:16">
      <c r="A9" s="154"/>
      <c r="B9" s="144" t="s">
        <v>475</v>
      </c>
      <c r="C9" s="119" t="s">
        <v>32</v>
      </c>
      <c r="D9" s="153">
        <f>D8</f>
        <v>6</v>
      </c>
      <c r="E9" s="153">
        <f>E8</f>
        <v>3</v>
      </c>
      <c r="F9" s="137">
        <f>F8</f>
        <v>39600</v>
      </c>
      <c r="G9" s="119" t="s">
        <v>32</v>
      </c>
      <c r="H9" s="153">
        <f>H8</f>
        <v>6</v>
      </c>
      <c r="I9" s="153">
        <f>I8</f>
        <v>3</v>
      </c>
      <c r="J9" s="137">
        <f>J8</f>
        <v>39600</v>
      </c>
      <c r="K9" s="119" t="s">
        <v>32</v>
      </c>
      <c r="L9" s="153">
        <f>L8</f>
        <v>6</v>
      </c>
      <c r="M9" s="153">
        <f>M8</f>
        <v>3</v>
      </c>
      <c r="N9" s="137">
        <f>N8</f>
        <v>39600</v>
      </c>
    </row>
    <row r="10" spans="1:16">
      <c r="A10" s="155"/>
      <c r="B10" s="145"/>
      <c r="C10" s="118"/>
      <c r="D10" s="156"/>
      <c r="E10" s="156"/>
      <c r="F10" s="146"/>
      <c r="G10" s="118"/>
      <c r="H10" s="156"/>
      <c r="I10" s="156"/>
      <c r="J10" s="146"/>
      <c r="K10" s="118"/>
      <c r="L10" s="156"/>
      <c r="M10" s="156"/>
      <c r="N10" s="146"/>
      <c r="P10" s="138" t="s">
        <v>479</v>
      </c>
    </row>
    <row r="11" spans="1:16" hidden="1">
      <c r="A11" s="138" t="s">
        <v>461</v>
      </c>
      <c r="B11" s="145"/>
      <c r="C11" s="146"/>
      <c r="D11" s="118"/>
      <c r="E11" s="118"/>
      <c r="F11" s="146"/>
      <c r="G11" s="146"/>
      <c r="H11" s="118"/>
      <c r="I11" s="118"/>
      <c r="J11" s="146"/>
      <c r="K11" s="146"/>
      <c r="L11" s="118"/>
      <c r="M11" s="118"/>
      <c r="N11" s="146"/>
    </row>
    <row r="12" spans="1:16" hidden="1">
      <c r="A12" s="138" t="s">
        <v>462</v>
      </c>
      <c r="B12" s="145"/>
      <c r="C12" s="146"/>
      <c r="D12" s="118"/>
      <c r="E12" s="118"/>
      <c r="F12" s="146"/>
      <c r="G12" s="146"/>
      <c r="H12" s="118"/>
      <c r="I12" s="118"/>
      <c r="J12" s="146"/>
      <c r="K12" s="146"/>
      <c r="L12" s="118"/>
      <c r="M12" s="118"/>
      <c r="N12" s="146"/>
    </row>
    <row r="13" spans="1:16" hidden="1">
      <c r="A13" s="138" t="s">
        <v>470</v>
      </c>
      <c r="B13" s="145"/>
      <c r="C13" s="146"/>
      <c r="D13" s="118"/>
      <c r="E13" s="118"/>
      <c r="F13" s="146"/>
      <c r="G13" s="146"/>
      <c r="H13" s="118"/>
      <c r="I13" s="118"/>
      <c r="J13" s="146"/>
      <c r="K13" s="146"/>
      <c r="L13" s="118"/>
      <c r="M13" s="118"/>
      <c r="N13" s="146"/>
    </row>
    <row r="14" spans="1:16" hidden="1">
      <c r="A14" s="848" t="s">
        <v>307</v>
      </c>
      <c r="B14" s="848" t="s">
        <v>465</v>
      </c>
      <c r="C14" s="848" t="s">
        <v>434</v>
      </c>
      <c r="D14" s="848"/>
      <c r="E14" s="848"/>
      <c r="F14" s="848"/>
      <c r="G14" s="848" t="s">
        <v>435</v>
      </c>
      <c r="H14" s="848"/>
      <c r="I14" s="848"/>
      <c r="J14" s="848"/>
      <c r="K14" s="848" t="s">
        <v>436</v>
      </c>
      <c r="L14" s="848"/>
      <c r="M14" s="848"/>
      <c r="N14" s="848"/>
    </row>
    <row r="15" spans="1:16" ht="82.5" hidden="1" customHeight="1">
      <c r="A15" s="848"/>
      <c r="B15" s="848"/>
      <c r="C15" s="119" t="s">
        <v>476</v>
      </c>
      <c r="D15" s="119" t="s">
        <v>477</v>
      </c>
      <c r="E15" s="119" t="s">
        <v>471</v>
      </c>
      <c r="F15" s="119" t="s">
        <v>468</v>
      </c>
      <c r="G15" s="119" t="s">
        <v>476</v>
      </c>
      <c r="H15" s="119" t="s">
        <v>477</v>
      </c>
      <c r="I15" s="119" t="s">
        <v>471</v>
      </c>
      <c r="J15" s="119" t="s">
        <v>468</v>
      </c>
      <c r="K15" s="119" t="s">
        <v>476</v>
      </c>
      <c r="L15" s="119" t="s">
        <v>477</v>
      </c>
      <c r="M15" s="119" t="s">
        <v>471</v>
      </c>
      <c r="N15" s="119" t="s">
        <v>468</v>
      </c>
    </row>
    <row r="16" spans="1:16" ht="108" hidden="1" customHeight="1">
      <c r="A16" s="119">
        <v>1</v>
      </c>
      <c r="B16" s="144" t="s">
        <v>472</v>
      </c>
      <c r="C16" s="119" t="s">
        <v>32</v>
      </c>
      <c r="D16" s="119" t="s">
        <v>32</v>
      </c>
      <c r="E16" s="119" t="s">
        <v>32</v>
      </c>
      <c r="F16" s="119" t="s">
        <v>32</v>
      </c>
      <c r="G16" s="119" t="s">
        <v>32</v>
      </c>
      <c r="H16" s="119" t="s">
        <v>32</v>
      </c>
      <c r="I16" s="119" t="s">
        <v>32</v>
      </c>
      <c r="J16" s="119" t="s">
        <v>32</v>
      </c>
      <c r="K16" s="119" t="s">
        <v>32</v>
      </c>
      <c r="L16" s="119" t="s">
        <v>32</v>
      </c>
      <c r="M16" s="119" t="s">
        <v>32</v>
      </c>
      <c r="N16" s="119" t="s">
        <v>32</v>
      </c>
    </row>
    <row r="17" spans="1:14" ht="89.25" hidden="1">
      <c r="A17" s="152" t="s">
        <v>236</v>
      </c>
      <c r="B17" s="144" t="s">
        <v>480</v>
      </c>
      <c r="C17" s="137">
        <v>1000</v>
      </c>
      <c r="D17" s="119">
        <v>0</v>
      </c>
      <c r="E17" s="119">
        <v>0</v>
      </c>
      <c r="F17" s="137">
        <f>C17*D17*E17</f>
        <v>0</v>
      </c>
      <c r="G17" s="137">
        <v>0</v>
      </c>
      <c r="H17" s="119">
        <v>0</v>
      </c>
      <c r="I17" s="119">
        <v>0</v>
      </c>
      <c r="J17" s="137">
        <f>G17*H17*I17</f>
        <v>0</v>
      </c>
      <c r="K17" s="137">
        <v>0</v>
      </c>
      <c r="L17" s="119">
        <v>0</v>
      </c>
      <c r="M17" s="119">
        <v>0</v>
      </c>
      <c r="N17" s="137">
        <f>K17*L17*M17</f>
        <v>0</v>
      </c>
    </row>
    <row r="18" spans="1:14" hidden="1">
      <c r="A18" s="157"/>
      <c r="B18" s="158"/>
      <c r="C18" s="150"/>
      <c r="D18" s="150"/>
      <c r="E18" s="150"/>
      <c r="F18" s="150"/>
      <c r="G18" s="150"/>
      <c r="H18" s="150"/>
      <c r="I18" s="150"/>
      <c r="J18" s="150"/>
      <c r="K18" s="150"/>
      <c r="L18" s="150"/>
      <c r="M18" s="150"/>
      <c r="N18" s="150"/>
    </row>
    <row r="19" spans="1:14" ht="38.25" hidden="1">
      <c r="A19" s="119" t="s">
        <v>23</v>
      </c>
      <c r="B19" s="144" t="s">
        <v>473</v>
      </c>
      <c r="C19" s="119" t="s">
        <v>32</v>
      </c>
      <c r="D19" s="119" t="s">
        <v>32</v>
      </c>
      <c r="E19" s="119" t="s">
        <v>32</v>
      </c>
      <c r="F19" s="119" t="s">
        <v>32</v>
      </c>
      <c r="G19" s="119" t="s">
        <v>32</v>
      </c>
      <c r="H19" s="119" t="s">
        <v>32</v>
      </c>
      <c r="I19" s="119" t="s">
        <v>32</v>
      </c>
      <c r="J19" s="119" t="s">
        <v>32</v>
      </c>
      <c r="K19" s="119" t="s">
        <v>32</v>
      </c>
      <c r="L19" s="119" t="s">
        <v>32</v>
      </c>
      <c r="M19" s="119" t="s">
        <v>32</v>
      </c>
      <c r="N19" s="119" t="s">
        <v>32</v>
      </c>
    </row>
    <row r="20" spans="1:14" ht="76.5" hidden="1">
      <c r="A20" s="152" t="s">
        <v>278</v>
      </c>
      <c r="B20" s="144" t="s">
        <v>474</v>
      </c>
      <c r="C20" s="137">
        <v>10000</v>
      </c>
      <c r="D20" s="119">
        <v>0</v>
      </c>
      <c r="E20" s="119">
        <v>0</v>
      </c>
      <c r="F20" s="137">
        <f>C20*D20*E20</f>
        <v>0</v>
      </c>
      <c r="G20" s="119">
        <v>0</v>
      </c>
      <c r="H20" s="119">
        <v>0</v>
      </c>
      <c r="I20" s="119">
        <v>0</v>
      </c>
      <c r="J20" s="119">
        <v>0</v>
      </c>
      <c r="K20" s="119">
        <v>0</v>
      </c>
      <c r="L20" s="119">
        <v>0</v>
      </c>
      <c r="M20" s="119">
        <v>0</v>
      </c>
      <c r="N20" s="119">
        <v>0</v>
      </c>
    </row>
    <row r="21" spans="1:14" hidden="1">
      <c r="A21" s="154"/>
      <c r="B21" s="144"/>
      <c r="C21" s="119"/>
      <c r="D21" s="119"/>
      <c r="E21" s="119"/>
      <c r="F21" s="119"/>
      <c r="G21" s="119"/>
      <c r="H21" s="119"/>
      <c r="I21" s="119"/>
      <c r="J21" s="119"/>
      <c r="K21" s="119"/>
      <c r="L21" s="119"/>
      <c r="M21" s="119"/>
      <c r="N21" s="119"/>
    </row>
    <row r="22" spans="1:14" hidden="1">
      <c r="A22" s="154"/>
      <c r="B22" s="144" t="s">
        <v>475</v>
      </c>
      <c r="C22" s="119" t="s">
        <v>32</v>
      </c>
      <c r="D22" s="153">
        <f>D17+D20</f>
        <v>0</v>
      </c>
      <c r="E22" s="153">
        <f>E17+E20</f>
        <v>0</v>
      </c>
      <c r="F22" s="137">
        <f>F17+F20</f>
        <v>0</v>
      </c>
      <c r="G22" s="119" t="s">
        <v>32</v>
      </c>
      <c r="H22" s="119">
        <f>H17</f>
        <v>0</v>
      </c>
      <c r="I22" s="119">
        <f>I17</f>
        <v>0</v>
      </c>
      <c r="J22" s="137">
        <f>J17</f>
        <v>0</v>
      </c>
      <c r="K22" s="119" t="s">
        <v>32</v>
      </c>
      <c r="L22" s="119">
        <f>L17</f>
        <v>0</v>
      </c>
      <c r="M22" s="119">
        <f>M17</f>
        <v>0</v>
      </c>
      <c r="N22" s="137">
        <f>N17</f>
        <v>0</v>
      </c>
    </row>
    <row r="23" spans="1:14">
      <c r="A23" s="159"/>
    </row>
    <row r="24" spans="1:14">
      <c r="A24" s="138" t="s">
        <v>481</v>
      </c>
    </row>
    <row r="26" spans="1:14">
      <c r="A26" s="138" t="s">
        <v>482</v>
      </c>
    </row>
    <row r="27" spans="1:14" s="140" customFormat="1" hidden="1">
      <c r="A27" s="140" t="s">
        <v>469</v>
      </c>
    </row>
    <row r="28" spans="1:14" hidden="1">
      <c r="B28" s="138" t="s">
        <v>659</v>
      </c>
    </row>
    <row r="29" spans="1:14" hidden="1">
      <c r="A29" s="138" t="s">
        <v>457</v>
      </c>
    </row>
    <row r="30" spans="1:14" hidden="1">
      <c r="A30" s="138" t="s">
        <v>483</v>
      </c>
    </row>
    <row r="31" spans="1:14" hidden="1">
      <c r="A31" s="138" t="s">
        <v>484</v>
      </c>
    </row>
    <row r="32" spans="1:14" ht="25.5" hidden="1" customHeight="1">
      <c r="A32" s="862" t="s">
        <v>307</v>
      </c>
      <c r="B32" s="862" t="s">
        <v>465</v>
      </c>
      <c r="C32" s="854" t="s">
        <v>485</v>
      </c>
      <c r="D32" s="864"/>
      <c r="E32" s="864"/>
      <c r="F32" s="855"/>
      <c r="G32" s="854" t="s">
        <v>486</v>
      </c>
      <c r="H32" s="864"/>
      <c r="I32" s="864"/>
      <c r="J32" s="855"/>
      <c r="K32" s="854" t="s">
        <v>487</v>
      </c>
      <c r="L32" s="864"/>
      <c r="M32" s="864"/>
      <c r="N32" s="855"/>
    </row>
    <row r="33" spans="1:16" ht="63.75" hidden="1">
      <c r="A33" s="863"/>
      <c r="B33" s="863"/>
      <c r="C33" s="119" t="s">
        <v>466</v>
      </c>
      <c r="D33" s="119" t="s">
        <v>477</v>
      </c>
      <c r="E33" s="119" t="s">
        <v>467</v>
      </c>
      <c r="F33" s="119" t="s">
        <v>468</v>
      </c>
      <c r="G33" s="119" t="s">
        <v>488</v>
      </c>
      <c r="H33" s="119" t="s">
        <v>477</v>
      </c>
      <c r="I33" s="119" t="s">
        <v>467</v>
      </c>
      <c r="J33" s="119" t="s">
        <v>468</v>
      </c>
      <c r="K33" s="119" t="s">
        <v>489</v>
      </c>
      <c r="L33" s="119" t="s">
        <v>477</v>
      </c>
      <c r="M33" s="119" t="s">
        <v>467</v>
      </c>
      <c r="N33" s="119" t="s">
        <v>468</v>
      </c>
    </row>
    <row r="34" spans="1:16" hidden="1">
      <c r="A34" s="119"/>
      <c r="B34" s="119"/>
      <c r="C34" s="154"/>
      <c r="D34" s="154"/>
      <c r="E34" s="154"/>
      <c r="F34" s="154"/>
      <c r="G34" s="154"/>
      <c r="H34" s="154"/>
      <c r="I34" s="154"/>
      <c r="J34" s="154"/>
      <c r="K34" s="154"/>
      <c r="L34" s="154"/>
      <c r="M34" s="154"/>
      <c r="N34" s="154"/>
    </row>
    <row r="35" spans="1:16">
      <c r="P35" s="138" t="s">
        <v>490</v>
      </c>
    </row>
    <row r="36" spans="1:16" s="147" customFormat="1">
      <c r="A36" s="147" t="s">
        <v>460</v>
      </c>
      <c r="D36" s="327"/>
    </row>
    <row r="38" spans="1:16">
      <c r="A38" s="138" t="s">
        <v>461</v>
      </c>
    </row>
    <row r="39" spans="1:16">
      <c r="A39" s="138" t="s">
        <v>462</v>
      </c>
    </row>
    <row r="40" spans="1:16">
      <c r="A40" s="138" t="s">
        <v>470</v>
      </c>
    </row>
    <row r="42" spans="1:16" ht="30.75" customHeight="1">
      <c r="A42" s="848" t="s">
        <v>307</v>
      </c>
      <c r="B42" s="848" t="s">
        <v>465</v>
      </c>
      <c r="C42" s="848" t="s">
        <v>800</v>
      </c>
      <c r="D42" s="848"/>
      <c r="E42" s="848"/>
      <c r="F42" s="848"/>
      <c r="G42" s="848" t="s">
        <v>801</v>
      </c>
      <c r="H42" s="848"/>
      <c r="I42" s="848"/>
      <c r="J42" s="848"/>
      <c r="K42" s="848" t="s">
        <v>802</v>
      </c>
      <c r="L42" s="848"/>
      <c r="M42" s="848"/>
      <c r="N42" s="848"/>
    </row>
    <row r="43" spans="1:16" ht="85.5" customHeight="1">
      <c r="A43" s="848"/>
      <c r="B43" s="848"/>
      <c r="C43" s="119" t="s">
        <v>466</v>
      </c>
      <c r="D43" s="119" t="s">
        <v>671</v>
      </c>
      <c r="E43" s="119" t="s">
        <v>670</v>
      </c>
      <c r="F43" s="119" t="s">
        <v>468</v>
      </c>
      <c r="G43" s="119" t="s">
        <v>466</v>
      </c>
      <c r="H43" s="243" t="s">
        <v>671</v>
      </c>
      <c r="I43" s="243" t="s">
        <v>670</v>
      </c>
      <c r="J43" s="119" t="s">
        <v>468</v>
      </c>
      <c r="K43" s="119" t="s">
        <v>466</v>
      </c>
      <c r="L43" s="243" t="s">
        <v>671</v>
      </c>
      <c r="M43" s="243" t="s">
        <v>670</v>
      </c>
      <c r="N43" s="119" t="s">
        <v>468</v>
      </c>
    </row>
    <row r="44" spans="1:16" ht="37.5" customHeight="1">
      <c r="A44" s="119">
        <v>1</v>
      </c>
      <c r="B44" s="144" t="s">
        <v>668</v>
      </c>
      <c r="C44" s="152" t="s">
        <v>672</v>
      </c>
      <c r="D44" s="349">
        <f>14+4</f>
        <v>18</v>
      </c>
      <c r="E44" s="350">
        <f>13+12</f>
        <v>25</v>
      </c>
      <c r="F44" s="351">
        <f>13300+500+12000+6000</f>
        <v>31800</v>
      </c>
      <c r="G44" s="352">
        <v>0</v>
      </c>
      <c r="H44" s="144">
        <v>0</v>
      </c>
      <c r="I44" s="144">
        <v>0</v>
      </c>
      <c r="J44" s="160">
        <f t="shared" ref="J44:J45" si="0">G44*H44*I44</f>
        <v>0</v>
      </c>
      <c r="K44" s="160">
        <v>0</v>
      </c>
      <c r="L44" s="144">
        <v>0</v>
      </c>
      <c r="M44" s="144">
        <v>0</v>
      </c>
      <c r="N44" s="160">
        <f t="shared" ref="N44:N45" si="1">K44*L44*M44</f>
        <v>0</v>
      </c>
    </row>
    <row r="45" spans="1:16" ht="63.75">
      <c r="A45" s="119">
        <v>2</v>
      </c>
      <c r="B45" s="144" t="s">
        <v>669</v>
      </c>
      <c r="C45" s="160">
        <f>F45/D45/E45</f>
        <v>297.81</v>
      </c>
      <c r="D45" s="344">
        <f>14+6+3</f>
        <v>23</v>
      </c>
      <c r="E45" s="344">
        <f>12+4+5</f>
        <v>21</v>
      </c>
      <c r="F45" s="352">
        <f>39692+101376+2772</f>
        <v>143840</v>
      </c>
      <c r="G45" s="352">
        <v>0</v>
      </c>
      <c r="H45" s="144">
        <v>0</v>
      </c>
      <c r="I45" s="144">
        <v>0</v>
      </c>
      <c r="J45" s="160">
        <f t="shared" si="0"/>
        <v>0</v>
      </c>
      <c r="K45" s="160">
        <v>0</v>
      </c>
      <c r="L45" s="144">
        <v>0</v>
      </c>
      <c r="M45" s="144">
        <v>0</v>
      </c>
      <c r="N45" s="160">
        <f t="shared" si="1"/>
        <v>0</v>
      </c>
    </row>
    <row r="46" spans="1:16">
      <c r="A46" s="161"/>
      <c r="B46" s="161" t="s">
        <v>475</v>
      </c>
      <c r="C46" s="162" t="s">
        <v>32</v>
      </c>
      <c r="D46" s="162" t="s">
        <v>32</v>
      </c>
      <c r="E46" s="162" t="s">
        <v>32</v>
      </c>
      <c r="F46" s="160">
        <f t="shared" ref="F46" si="2">SUM(F44:F45)</f>
        <v>175640</v>
      </c>
      <c r="G46" s="162" t="s">
        <v>32</v>
      </c>
      <c r="H46" s="162" t="s">
        <v>32</v>
      </c>
      <c r="I46" s="162" t="s">
        <v>32</v>
      </c>
      <c r="J46" s="161">
        <f>SUM(J44:J45)</f>
        <v>0</v>
      </c>
      <c r="K46" s="162" t="s">
        <v>32</v>
      </c>
      <c r="L46" s="162" t="s">
        <v>32</v>
      </c>
      <c r="M46" s="162" t="s">
        <v>32</v>
      </c>
      <c r="N46" s="161">
        <f>SUM(N44:N45)</f>
        <v>0</v>
      </c>
    </row>
    <row r="47" spans="1:16">
      <c r="F47" s="141"/>
      <c r="J47" s="141"/>
      <c r="N47" s="141"/>
    </row>
    <row r="48" spans="1:16">
      <c r="A48" s="138" t="s">
        <v>491</v>
      </c>
      <c r="P48" s="138" t="s">
        <v>492</v>
      </c>
    </row>
    <row r="49" spans="1:15" s="140" customFormat="1">
      <c r="A49" s="140" t="s">
        <v>456</v>
      </c>
    </row>
    <row r="50" spans="1:15">
      <c r="A50" s="138" t="s">
        <v>457</v>
      </c>
    </row>
    <row r="51" spans="1:15">
      <c r="A51" s="138" t="s">
        <v>458</v>
      </c>
    </row>
    <row r="52" spans="1:15">
      <c r="A52" s="138" t="s">
        <v>470</v>
      </c>
    </row>
    <row r="53" spans="1:15" ht="25.5" customHeight="1">
      <c r="A53" s="848" t="s">
        <v>307</v>
      </c>
      <c r="B53" s="848" t="s">
        <v>465</v>
      </c>
      <c r="C53" s="848" t="s">
        <v>800</v>
      </c>
      <c r="D53" s="848"/>
      <c r="E53" s="848"/>
      <c r="F53" s="848" t="s">
        <v>801</v>
      </c>
      <c r="G53" s="848"/>
      <c r="H53" s="848"/>
      <c r="I53" s="848" t="s">
        <v>802</v>
      </c>
      <c r="J53" s="848"/>
      <c r="K53" s="848"/>
    </row>
    <row r="54" spans="1:15" ht="82.5" customHeight="1">
      <c r="A54" s="848"/>
      <c r="B54" s="848"/>
      <c r="C54" s="119" t="s">
        <v>493</v>
      </c>
      <c r="D54" s="119" t="s">
        <v>477</v>
      </c>
      <c r="E54" s="119" t="s">
        <v>468</v>
      </c>
      <c r="F54" s="119" t="s">
        <v>493</v>
      </c>
      <c r="G54" s="119" t="s">
        <v>477</v>
      </c>
      <c r="H54" s="119" t="s">
        <v>468</v>
      </c>
      <c r="I54" s="119" t="s">
        <v>493</v>
      </c>
      <c r="J54" s="119" t="s">
        <v>477</v>
      </c>
      <c r="K54" s="119" t="s">
        <v>468</v>
      </c>
    </row>
    <row r="55" spans="1:15" ht="54.75" customHeight="1">
      <c r="A55" s="119">
        <v>1</v>
      </c>
      <c r="B55" s="144" t="s">
        <v>494</v>
      </c>
      <c r="C55" s="137">
        <f>E55/D55</f>
        <v>3367</v>
      </c>
      <c r="D55" s="153">
        <v>2</v>
      </c>
      <c r="E55" s="137">
        <v>6734</v>
      </c>
      <c r="F55" s="137">
        <v>0</v>
      </c>
      <c r="G55" s="137">
        <v>0</v>
      </c>
      <c r="H55" s="137">
        <v>0</v>
      </c>
      <c r="I55" s="137">
        <v>0</v>
      </c>
      <c r="J55" s="137">
        <v>0</v>
      </c>
      <c r="K55" s="137">
        <v>0</v>
      </c>
      <c r="O55" s="138" t="s">
        <v>737</v>
      </c>
    </row>
    <row r="56" spans="1:15">
      <c r="A56" s="161"/>
      <c r="B56" s="161" t="s">
        <v>475</v>
      </c>
      <c r="C56" s="162" t="s">
        <v>32</v>
      </c>
      <c r="D56" s="163">
        <f>D55</f>
        <v>2</v>
      </c>
      <c r="E56" s="164">
        <f>E55</f>
        <v>6734</v>
      </c>
      <c r="F56" s="165" t="s">
        <v>32</v>
      </c>
      <c r="G56" s="166">
        <v>0</v>
      </c>
      <c r="H56" s="166">
        <v>0</v>
      </c>
      <c r="I56" s="162" t="s">
        <v>32</v>
      </c>
      <c r="J56" s="166">
        <v>0</v>
      </c>
      <c r="K56" s="166">
        <v>0</v>
      </c>
    </row>
    <row r="57" spans="1:15" s="147" customFormat="1"/>
    <row r="61" spans="1:15" ht="29.25" customHeight="1">
      <c r="A61" s="861"/>
      <c r="B61" s="861"/>
      <c r="C61" s="861"/>
      <c r="D61" s="861"/>
      <c r="E61" s="861"/>
      <c r="F61" s="861"/>
      <c r="G61" s="861"/>
      <c r="H61" s="861"/>
      <c r="I61" s="861"/>
      <c r="J61" s="861"/>
      <c r="K61" s="861"/>
    </row>
    <row r="62" spans="1:15" ht="51" customHeight="1">
      <c r="A62" s="861"/>
      <c r="B62" s="861"/>
      <c r="C62" s="330"/>
      <c r="D62" s="330"/>
      <c r="E62" s="330"/>
      <c r="F62" s="330"/>
      <c r="G62" s="330"/>
      <c r="H62" s="330"/>
      <c r="I62" s="330"/>
      <c r="J62" s="330"/>
      <c r="K62" s="330"/>
    </row>
    <row r="63" spans="1:15">
      <c r="A63" s="331"/>
      <c r="B63" s="331"/>
      <c r="C63" s="332"/>
      <c r="D63" s="332"/>
      <c r="E63" s="332"/>
      <c r="F63" s="332"/>
      <c r="G63" s="332"/>
      <c r="H63" s="332"/>
      <c r="I63" s="332"/>
      <c r="J63" s="332"/>
      <c r="K63" s="332"/>
    </row>
    <row r="64" spans="1:15">
      <c r="A64" s="331"/>
      <c r="B64" s="331"/>
      <c r="C64" s="332"/>
      <c r="D64" s="332"/>
      <c r="E64" s="330"/>
      <c r="F64" s="332"/>
      <c r="G64" s="332"/>
      <c r="H64" s="332"/>
      <c r="I64" s="332"/>
      <c r="J64" s="332"/>
      <c r="K64" s="332"/>
    </row>
    <row r="65" ht="12.75" customHeight="1"/>
    <row r="274" spans="6:7">
      <c r="F274" s="141" t="e">
        <f>#REF!+#REF!+#REF!+'Лист7(214,266)'!E10+'Лист7(214,266)'!F33+'Лист7(214,266)'!E65+#REF!+#REF!+#REF!+#REF!+#REF!+#REF!+#REF!+'Лист11(225)'!F19+'Лист11(225)'!G35+'Лист11(225)'!G64+'Лист12(224,225,226,310,342-349'!G36+'Лист12(224,225,226,310,342-349'!G70+'Лист12(224,225,226,310,342-349'!G80+'Лист12(224,225,226,310,342-349'!G165+'Лист12(224,225,226,310,342-349'!G220+'Лист12(224,225,226,310,342-349'!G230+'Лист12(224,225,226,310,342-349'!G240+'Лист6(211,212,226,266)'!E56+#REF!+F175</f>
        <v>#REF!</v>
      </c>
      <c r="G274" s="141" t="e">
        <f>#REF!+#REF!+#REF!+'Лист7(214,266)'!H10+'Лист7(214,266)'!J33+'Лист7(214,266)'!H65+#REF!+#REF!+#REF!+#REF!+#REF!+#REF!+#REF!+'Лист11(225)'!J19+'Лист11(225)'!K35+'Лист11(225)'!K64+'Лист12(224,225,226,310,342-349'!K36+'Лист12(224,225,226,310,342-349'!J70+'Лист12(224,225,226,310,342-349'!J80+'Лист12(224,225,226,310,342-349'!J165</f>
        <v>#REF!</v>
      </c>
    </row>
  </sheetData>
  <mergeCells count="30">
    <mergeCell ref="A6:A7"/>
    <mergeCell ref="B6:B7"/>
    <mergeCell ref="C6:F6"/>
    <mergeCell ref="G6:J6"/>
    <mergeCell ref="K6:N6"/>
    <mergeCell ref="A14:A15"/>
    <mergeCell ref="B14:B15"/>
    <mergeCell ref="C14:F14"/>
    <mergeCell ref="G14:J14"/>
    <mergeCell ref="K14:N14"/>
    <mergeCell ref="A32:A33"/>
    <mergeCell ref="B32:B33"/>
    <mergeCell ref="C32:F32"/>
    <mergeCell ref="G32:J32"/>
    <mergeCell ref="K32:N32"/>
    <mergeCell ref="A42:A43"/>
    <mergeCell ref="B42:B43"/>
    <mergeCell ref="C42:F42"/>
    <mergeCell ref="G42:J42"/>
    <mergeCell ref="K42:N42"/>
    <mergeCell ref="A53:A54"/>
    <mergeCell ref="B53:B54"/>
    <mergeCell ref="C53:E53"/>
    <mergeCell ref="F53:H53"/>
    <mergeCell ref="I53:K53"/>
    <mergeCell ref="A61:A62"/>
    <mergeCell ref="B61:B62"/>
    <mergeCell ref="C61:E61"/>
    <mergeCell ref="F61:H61"/>
    <mergeCell ref="I61:K61"/>
  </mergeCells>
  <pageMargins left="0.70866141732283472" right="0.70866141732283472" top="0.74803149606299213" bottom="0.74803149606299213" header="0.31496062992125984" footer="0.31496062992125984"/>
  <pageSetup paperSize="9" scale="51"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3" tint="0.39997558519241921"/>
    <pageSetUpPr fitToPage="1"/>
  </sheetPr>
  <dimension ref="A1:P273"/>
  <sheetViews>
    <sheetView view="pageBreakPreview" zoomScale="70" zoomScaleNormal="85" zoomScaleSheetLayoutView="70" workbookViewId="0">
      <selection activeCell="F28" sqref="F28"/>
    </sheetView>
  </sheetViews>
  <sheetFormatPr defaultRowHeight="12.75"/>
  <cols>
    <col min="1" max="1" width="9.140625" style="167" bestFit="1"/>
    <col min="2" max="2" width="21.42578125" style="167" customWidth="1"/>
    <col min="3" max="3" width="16.5703125" style="167" bestFit="1" customWidth="1"/>
    <col min="4" max="4" width="13.7109375" style="167" bestFit="1" customWidth="1"/>
    <col min="5" max="5" width="12.5703125" style="167" customWidth="1"/>
    <col min="6" max="6" width="19.7109375" style="167" bestFit="1" customWidth="1"/>
    <col min="7" max="7" width="15.140625" style="167" bestFit="1" customWidth="1"/>
    <col min="8" max="8" width="11" style="167" bestFit="1" customWidth="1"/>
    <col min="9" max="9" width="20.7109375" style="167" bestFit="1" customWidth="1"/>
    <col min="10" max="10" width="11.140625" style="167" bestFit="1" customWidth="1"/>
    <col min="11" max="11" width="12.5703125" style="167" bestFit="1" customWidth="1"/>
    <col min="12" max="12" width="12.140625" style="167" bestFit="1" customWidth="1"/>
    <col min="13" max="13" width="11.28515625" style="167" bestFit="1" customWidth="1"/>
    <col min="14" max="14" width="11.140625" style="167" bestFit="1" customWidth="1"/>
    <col min="15" max="15" width="9.140625" style="167" bestFit="1"/>
    <col min="16" max="16384" width="9.140625" style="167"/>
  </cols>
  <sheetData>
    <row r="1" spans="1:14" s="533" customFormat="1" ht="38.25" customHeight="1">
      <c r="A1" s="867" t="s">
        <v>498</v>
      </c>
      <c r="B1" s="867"/>
      <c r="C1" s="867"/>
      <c r="D1" s="867"/>
      <c r="E1" s="867"/>
      <c r="F1" s="867"/>
      <c r="G1" s="867"/>
      <c r="H1" s="867"/>
      <c r="I1" s="867"/>
      <c r="J1" s="867"/>
      <c r="K1" s="867"/>
      <c r="L1" s="867"/>
      <c r="M1" s="867"/>
      <c r="N1" s="867"/>
    </row>
    <row r="2" spans="1:14" s="533" customFormat="1"/>
    <row r="3" spans="1:14" s="535" customFormat="1">
      <c r="A3" s="534" t="s">
        <v>456</v>
      </c>
    </row>
    <row r="4" spans="1:14" s="533" customFormat="1">
      <c r="A4" s="536" t="s">
        <v>457</v>
      </c>
    </row>
    <row r="5" spans="1:14" s="533" customFormat="1">
      <c r="A5" s="536" t="s">
        <v>458</v>
      </c>
    </row>
    <row r="6" spans="1:14" s="533" customFormat="1">
      <c r="A6" s="536" t="s">
        <v>499</v>
      </c>
    </row>
    <row r="7" spans="1:14" s="533" customFormat="1" ht="25.5" customHeight="1">
      <c r="A7" s="866" t="s">
        <v>307</v>
      </c>
      <c r="B7" s="866" t="s">
        <v>465</v>
      </c>
      <c r="C7" s="866" t="s">
        <v>744</v>
      </c>
      <c r="D7" s="866"/>
      <c r="E7" s="866"/>
      <c r="F7" s="866" t="s">
        <v>745</v>
      </c>
      <c r="G7" s="866"/>
      <c r="H7" s="866"/>
      <c r="I7" s="866" t="s">
        <v>746</v>
      </c>
      <c r="J7" s="866"/>
      <c r="K7" s="866"/>
    </row>
    <row r="8" spans="1:14" s="533" customFormat="1" ht="38.25" customHeight="1">
      <c r="A8" s="866"/>
      <c r="B8" s="866"/>
      <c r="C8" s="524" t="s">
        <v>500</v>
      </c>
      <c r="D8" s="524" t="s">
        <v>477</v>
      </c>
      <c r="E8" s="524" t="s">
        <v>468</v>
      </c>
      <c r="F8" s="524" t="s">
        <v>500</v>
      </c>
      <c r="G8" s="524" t="s">
        <v>477</v>
      </c>
      <c r="H8" s="524" t="s">
        <v>468</v>
      </c>
      <c r="I8" s="524" t="s">
        <v>500</v>
      </c>
      <c r="J8" s="524" t="s">
        <v>477</v>
      </c>
      <c r="K8" s="524" t="s">
        <v>468</v>
      </c>
    </row>
    <row r="9" spans="1:14" s="533" customFormat="1" ht="77.25" customHeight="1">
      <c r="A9" s="524">
        <v>1</v>
      </c>
      <c r="B9" s="537" t="s">
        <v>501</v>
      </c>
      <c r="C9" s="527">
        <f>E9/D9</f>
        <v>20000</v>
      </c>
      <c r="D9" s="538">
        <v>50</v>
      </c>
      <c r="E9" s="527">
        <v>1000000</v>
      </c>
      <c r="F9" s="527">
        <v>20000</v>
      </c>
      <c r="G9" s="524">
        <v>48</v>
      </c>
      <c r="H9" s="530">
        <f>F9*G9</f>
        <v>960000</v>
      </c>
      <c r="I9" s="530">
        <f>K9/J9</f>
        <v>20816.669999999998</v>
      </c>
      <c r="J9" s="524">
        <v>48</v>
      </c>
      <c r="K9" s="530">
        <f>400000+599200</f>
        <v>999200</v>
      </c>
    </row>
    <row r="10" spans="1:14" s="533" customFormat="1">
      <c r="A10" s="524"/>
      <c r="B10" s="524" t="s">
        <v>475</v>
      </c>
      <c r="C10" s="530" t="s">
        <v>32</v>
      </c>
      <c r="D10" s="524">
        <f>D9</f>
        <v>50</v>
      </c>
      <c r="E10" s="530">
        <f>E9</f>
        <v>1000000</v>
      </c>
      <c r="F10" s="530" t="s">
        <v>32</v>
      </c>
      <c r="G10" s="524">
        <f>G9</f>
        <v>48</v>
      </c>
      <c r="H10" s="530">
        <f>H9</f>
        <v>960000</v>
      </c>
      <c r="I10" s="530" t="s">
        <v>32</v>
      </c>
      <c r="J10" s="524">
        <f>J9</f>
        <v>48</v>
      </c>
      <c r="K10" s="530">
        <f>K9</f>
        <v>999200</v>
      </c>
    </row>
    <row r="11" spans="1:14" s="533" customFormat="1"/>
    <row r="12" spans="1:14" s="533" customFormat="1">
      <c r="A12" s="536"/>
    </row>
    <row r="13" spans="1:14" s="533" customFormat="1"/>
    <row r="14" spans="1:14" s="540" customFormat="1">
      <c r="A14" s="539" t="s">
        <v>460</v>
      </c>
    </row>
    <row r="15" spans="1:14" s="533" customFormat="1">
      <c r="A15" s="536" t="s">
        <v>461</v>
      </c>
    </row>
    <row r="16" spans="1:14" s="533" customFormat="1">
      <c r="A16" s="536" t="s">
        <v>462</v>
      </c>
    </row>
    <row r="17" spans="1:15" s="533" customFormat="1">
      <c r="A17" s="536" t="s">
        <v>499</v>
      </c>
    </row>
    <row r="18" spans="1:15" s="533" customFormat="1" ht="25.5" customHeight="1">
      <c r="A18" s="866" t="s">
        <v>307</v>
      </c>
      <c r="B18" s="866" t="s">
        <v>465</v>
      </c>
      <c r="C18" s="866" t="s">
        <v>744</v>
      </c>
      <c r="D18" s="866"/>
      <c r="E18" s="866"/>
      <c r="F18" s="866" t="s">
        <v>745</v>
      </c>
      <c r="G18" s="866"/>
      <c r="H18" s="866"/>
      <c r="I18" s="866" t="s">
        <v>746</v>
      </c>
      <c r="J18" s="866"/>
      <c r="K18" s="866"/>
    </row>
    <row r="19" spans="1:15" s="533" customFormat="1" ht="38.25">
      <c r="A19" s="866"/>
      <c r="B19" s="866"/>
      <c r="C19" s="524" t="s">
        <v>500</v>
      </c>
      <c r="D19" s="524" t="s">
        <v>477</v>
      </c>
      <c r="E19" s="524" t="s">
        <v>468</v>
      </c>
      <c r="F19" s="524" t="s">
        <v>500</v>
      </c>
      <c r="G19" s="524" t="s">
        <v>477</v>
      </c>
      <c r="H19" s="524" t="s">
        <v>468</v>
      </c>
      <c r="I19" s="524" t="s">
        <v>500</v>
      </c>
      <c r="J19" s="524" t="s">
        <v>477</v>
      </c>
      <c r="K19" s="524" t="s">
        <v>468</v>
      </c>
    </row>
    <row r="20" spans="1:15" s="533" customFormat="1" ht="73.5" customHeight="1">
      <c r="A20" s="524">
        <v>1</v>
      </c>
      <c r="B20" s="524" t="s">
        <v>501</v>
      </c>
      <c r="C20" s="530">
        <f>E20/D20</f>
        <v>20000</v>
      </c>
      <c r="D20" s="524">
        <v>5</v>
      </c>
      <c r="E20" s="530">
        <v>100000</v>
      </c>
      <c r="F20" s="530">
        <v>20000</v>
      </c>
      <c r="G20" s="524">
        <v>3</v>
      </c>
      <c r="H20" s="530">
        <f>F20*G20</f>
        <v>60000</v>
      </c>
      <c r="I20" s="530">
        <f>K20/J20</f>
        <v>20160</v>
      </c>
      <c r="J20" s="524">
        <v>5</v>
      </c>
      <c r="K20" s="530">
        <v>100800</v>
      </c>
    </row>
    <row r="21" spans="1:15" s="533" customFormat="1">
      <c r="A21" s="524"/>
      <c r="B21" s="524" t="s">
        <v>475</v>
      </c>
      <c r="C21" s="530" t="s">
        <v>32</v>
      </c>
      <c r="D21" s="524">
        <f>D20</f>
        <v>5</v>
      </c>
      <c r="E21" s="530">
        <f>E20</f>
        <v>100000</v>
      </c>
      <c r="F21" s="530" t="s">
        <v>32</v>
      </c>
      <c r="G21" s="524">
        <f>G20</f>
        <v>3</v>
      </c>
      <c r="H21" s="530">
        <f>H20</f>
        <v>60000</v>
      </c>
      <c r="I21" s="530" t="s">
        <v>32</v>
      </c>
      <c r="J21" s="524">
        <f>J20</f>
        <v>5</v>
      </c>
      <c r="K21" s="530">
        <f>K20</f>
        <v>100800</v>
      </c>
    </row>
    <row r="23" spans="1:15">
      <c r="A23" s="138" t="s">
        <v>502</v>
      </c>
    </row>
    <row r="24" spans="1:15">
      <c r="A24" s="138" t="s">
        <v>503</v>
      </c>
    </row>
    <row r="26" spans="1:15" s="168" customFormat="1">
      <c r="A26" s="140" t="s">
        <v>469</v>
      </c>
    </row>
    <row r="27" spans="1:15">
      <c r="A27" s="138" t="s">
        <v>457</v>
      </c>
    </row>
    <row r="28" spans="1:15">
      <c r="A28" s="138" t="s">
        <v>458</v>
      </c>
    </row>
    <row r="29" spans="1:15">
      <c r="A29" s="138" t="s">
        <v>464</v>
      </c>
    </row>
    <row r="30" spans="1:15" ht="25.5" customHeight="1">
      <c r="A30" s="848" t="s">
        <v>307</v>
      </c>
      <c r="B30" s="848" t="s">
        <v>465</v>
      </c>
      <c r="C30" s="848" t="s">
        <v>744</v>
      </c>
      <c r="D30" s="848"/>
      <c r="E30" s="848"/>
      <c r="F30" s="848"/>
      <c r="G30" s="848" t="s">
        <v>745</v>
      </c>
      <c r="H30" s="848"/>
      <c r="I30" s="848"/>
      <c r="J30" s="848"/>
      <c r="K30" s="848" t="s">
        <v>746</v>
      </c>
      <c r="L30" s="848"/>
      <c r="M30" s="848"/>
      <c r="N30" s="848"/>
    </row>
    <row r="31" spans="1:15" ht="67.5" customHeight="1">
      <c r="A31" s="848"/>
      <c r="B31" s="848"/>
      <c r="C31" s="119" t="s">
        <v>504</v>
      </c>
      <c r="D31" s="119" t="s">
        <v>505</v>
      </c>
      <c r="E31" s="119" t="s">
        <v>506</v>
      </c>
      <c r="F31" s="119" t="s">
        <v>468</v>
      </c>
      <c r="G31" s="119" t="s">
        <v>507</v>
      </c>
      <c r="H31" s="119" t="s">
        <v>508</v>
      </c>
      <c r="I31" s="119" t="s">
        <v>506</v>
      </c>
      <c r="J31" s="119" t="s">
        <v>468</v>
      </c>
      <c r="K31" s="119" t="s">
        <v>504</v>
      </c>
      <c r="L31" s="119" t="s">
        <v>508</v>
      </c>
      <c r="M31" s="119" t="s">
        <v>506</v>
      </c>
      <c r="N31" s="119" t="s">
        <v>468</v>
      </c>
    </row>
    <row r="32" spans="1:15" ht="127.5">
      <c r="A32" s="119">
        <v>1</v>
      </c>
      <c r="B32" s="144" t="s">
        <v>509</v>
      </c>
      <c r="C32" s="119">
        <v>3</v>
      </c>
      <c r="D32" s="169">
        <f>F32/E32/C32</f>
        <v>12</v>
      </c>
      <c r="E32" s="137">
        <v>85</v>
      </c>
      <c r="F32" s="137">
        <v>3060</v>
      </c>
      <c r="G32" s="119">
        <v>2</v>
      </c>
      <c r="H32" s="171">
        <v>6.5</v>
      </c>
      <c r="I32" s="137">
        <v>85</v>
      </c>
      <c r="J32" s="137">
        <f>G32*H32*I32</f>
        <v>1105</v>
      </c>
      <c r="K32" s="119">
        <v>0</v>
      </c>
      <c r="L32" s="119">
        <v>0</v>
      </c>
      <c r="M32" s="137">
        <v>85</v>
      </c>
      <c r="N32" s="137">
        <f>K32*L32*M32</f>
        <v>0</v>
      </c>
      <c r="O32" s="167" t="s">
        <v>738</v>
      </c>
    </row>
    <row r="33" spans="1:16">
      <c r="A33" s="144"/>
      <c r="B33" s="119" t="s">
        <v>475</v>
      </c>
      <c r="C33" s="119">
        <f>C32</f>
        <v>3</v>
      </c>
      <c r="D33" s="119">
        <f t="shared" ref="D33:E33" si="0">D32</f>
        <v>12</v>
      </c>
      <c r="E33" s="137">
        <f t="shared" si="0"/>
        <v>85</v>
      </c>
      <c r="F33" s="137">
        <f>F32</f>
        <v>3060</v>
      </c>
      <c r="G33" s="119">
        <f>G32</f>
        <v>2</v>
      </c>
      <c r="H33" s="119">
        <f t="shared" ref="H33:H44" si="1">H32</f>
        <v>6.5</v>
      </c>
      <c r="I33" s="137">
        <f t="shared" ref="I33:I44" si="2">I32</f>
        <v>85</v>
      </c>
      <c r="J33" s="137">
        <f>J32</f>
        <v>1105</v>
      </c>
      <c r="K33" s="119">
        <f>K32</f>
        <v>0</v>
      </c>
      <c r="L33" s="119">
        <f t="shared" ref="L33:L44" si="3">L32</f>
        <v>0</v>
      </c>
      <c r="M33" s="137">
        <f t="shared" ref="M33:M44" si="4">M32</f>
        <v>85</v>
      </c>
      <c r="N33" s="137">
        <f>N32</f>
        <v>0</v>
      </c>
    </row>
    <row r="35" spans="1:16" s="170" customFormat="1">
      <c r="A35" s="147" t="s">
        <v>460</v>
      </c>
    </row>
    <row r="36" spans="1:16">
      <c r="A36" s="138" t="s">
        <v>461</v>
      </c>
      <c r="D36" s="326"/>
    </row>
    <row r="37" spans="1:16">
      <c r="A37" s="138" t="s">
        <v>462</v>
      </c>
    </row>
    <row r="38" spans="1:16">
      <c r="A38" s="138" t="s">
        <v>464</v>
      </c>
    </row>
    <row r="39" spans="1:16" ht="25.5" customHeight="1">
      <c r="A39" s="848" t="s">
        <v>307</v>
      </c>
      <c r="B39" s="848" t="s">
        <v>465</v>
      </c>
      <c r="C39" s="848" t="s">
        <v>744</v>
      </c>
      <c r="D39" s="848"/>
      <c r="E39" s="848"/>
      <c r="F39" s="848"/>
      <c r="G39" s="848" t="s">
        <v>745</v>
      </c>
      <c r="H39" s="848"/>
      <c r="I39" s="848"/>
      <c r="J39" s="848"/>
      <c r="K39" s="848" t="s">
        <v>746</v>
      </c>
      <c r="L39" s="848"/>
      <c r="M39" s="848"/>
      <c r="N39" s="848"/>
    </row>
    <row r="40" spans="1:16" ht="25.5" customHeight="1">
      <c r="A40" s="848"/>
      <c r="B40" s="848"/>
      <c r="C40" s="848" t="s">
        <v>510</v>
      </c>
      <c r="D40" s="848" t="s">
        <v>508</v>
      </c>
      <c r="E40" s="848" t="s">
        <v>506</v>
      </c>
      <c r="F40" s="848" t="s">
        <v>468</v>
      </c>
      <c r="G40" s="848" t="s">
        <v>510</v>
      </c>
      <c r="H40" s="848" t="s">
        <v>508</v>
      </c>
      <c r="I40" s="862" t="s">
        <v>506</v>
      </c>
      <c r="J40" s="848" t="s">
        <v>468</v>
      </c>
      <c r="K40" s="848" t="s">
        <v>510</v>
      </c>
      <c r="L40" s="848" t="s">
        <v>508</v>
      </c>
      <c r="M40" s="848" t="s">
        <v>506</v>
      </c>
      <c r="N40" s="848" t="s">
        <v>468</v>
      </c>
    </row>
    <row r="41" spans="1:16">
      <c r="A41" s="848"/>
      <c r="B41" s="848"/>
      <c r="C41" s="848"/>
      <c r="D41" s="848"/>
      <c r="E41" s="848"/>
      <c r="F41" s="848"/>
      <c r="G41" s="848"/>
      <c r="H41" s="848"/>
      <c r="I41" s="865"/>
      <c r="J41" s="848"/>
      <c r="K41" s="848"/>
      <c r="L41" s="848"/>
      <c r="M41" s="848"/>
      <c r="N41" s="848"/>
    </row>
    <row r="42" spans="1:16">
      <c r="A42" s="848"/>
      <c r="B42" s="848"/>
      <c r="C42" s="848"/>
      <c r="D42" s="848"/>
      <c r="E42" s="848"/>
      <c r="F42" s="848"/>
      <c r="G42" s="848"/>
      <c r="H42" s="848"/>
      <c r="I42" s="863"/>
      <c r="J42" s="848"/>
      <c r="K42" s="848"/>
      <c r="L42" s="848"/>
      <c r="M42" s="848"/>
      <c r="N42" s="848"/>
    </row>
    <row r="43" spans="1:16" ht="127.5">
      <c r="A43" s="119">
        <v>1</v>
      </c>
      <c r="B43" s="144" t="s">
        <v>509</v>
      </c>
      <c r="C43" s="119">
        <v>2</v>
      </c>
      <c r="D43" s="169">
        <f>F43/E43/C43</f>
        <v>11</v>
      </c>
      <c r="E43" s="137">
        <v>85</v>
      </c>
      <c r="F43" s="137">
        <f>1020+900</f>
        <v>1920</v>
      </c>
      <c r="G43" s="119">
        <v>1</v>
      </c>
      <c r="H43" s="119">
        <v>5</v>
      </c>
      <c r="I43" s="137">
        <v>85</v>
      </c>
      <c r="J43" s="137">
        <f>G43*H43*I43</f>
        <v>425</v>
      </c>
      <c r="K43" s="119">
        <v>0</v>
      </c>
      <c r="L43" s="119">
        <v>0</v>
      </c>
      <c r="M43" s="137">
        <v>85</v>
      </c>
      <c r="N43" s="137">
        <f>K43*L43*M43</f>
        <v>0</v>
      </c>
    </row>
    <row r="44" spans="1:16">
      <c r="A44" s="144"/>
      <c r="B44" s="144" t="s">
        <v>475</v>
      </c>
      <c r="C44" s="119">
        <f>C43</f>
        <v>2</v>
      </c>
      <c r="D44" s="119">
        <f t="shared" ref="D44:E44" si="5">D43</f>
        <v>11</v>
      </c>
      <c r="E44" s="137">
        <f t="shared" si="5"/>
        <v>85</v>
      </c>
      <c r="F44" s="137">
        <f>F43</f>
        <v>1920</v>
      </c>
      <c r="G44" s="119">
        <f>G43</f>
        <v>1</v>
      </c>
      <c r="H44" s="119">
        <f t="shared" si="1"/>
        <v>5</v>
      </c>
      <c r="I44" s="137">
        <f t="shared" si="2"/>
        <v>85</v>
      </c>
      <c r="J44" s="137">
        <f>J43</f>
        <v>425</v>
      </c>
      <c r="K44" s="119">
        <f>K43</f>
        <v>0</v>
      </c>
      <c r="L44" s="119">
        <f t="shared" si="3"/>
        <v>0</v>
      </c>
      <c r="M44" s="137">
        <f t="shared" si="4"/>
        <v>85</v>
      </c>
      <c r="N44" s="137">
        <f>N43</f>
        <v>0</v>
      </c>
    </row>
    <row r="46" spans="1:16" hidden="1">
      <c r="A46" s="138" t="s">
        <v>511</v>
      </c>
    </row>
    <row r="47" spans="1:16" hidden="1">
      <c r="P47" s="167" t="s">
        <v>512</v>
      </c>
    </row>
    <row r="48" spans="1:16" hidden="1">
      <c r="A48" s="148" t="s">
        <v>463</v>
      </c>
      <c r="B48" s="172"/>
      <c r="C48" s="172"/>
      <c r="D48" s="172"/>
      <c r="E48" s="172"/>
      <c r="F48" s="172"/>
      <c r="G48" s="172"/>
      <c r="H48" s="172"/>
      <c r="I48" s="172"/>
      <c r="J48" s="172"/>
      <c r="K48" s="172"/>
      <c r="L48" s="172"/>
      <c r="M48" s="172"/>
      <c r="N48" s="172"/>
    </row>
    <row r="49" spans="1:14" hidden="1">
      <c r="A49" s="138" t="s">
        <v>459</v>
      </c>
    </row>
    <row r="50" spans="1:14" hidden="1">
      <c r="A50" s="138" t="s">
        <v>513</v>
      </c>
    </row>
    <row r="51" spans="1:14" hidden="1">
      <c r="A51" s="138" t="s">
        <v>464</v>
      </c>
    </row>
    <row r="52" spans="1:14" hidden="1">
      <c r="A52" s="848" t="s">
        <v>307</v>
      </c>
      <c r="B52" s="848" t="s">
        <v>465</v>
      </c>
      <c r="C52" s="848" t="s">
        <v>434</v>
      </c>
      <c r="D52" s="848"/>
      <c r="E52" s="848"/>
      <c r="F52" s="848"/>
      <c r="G52" s="848" t="s">
        <v>435</v>
      </c>
      <c r="H52" s="848"/>
      <c r="I52" s="848"/>
      <c r="J52" s="848"/>
      <c r="K52" s="848" t="s">
        <v>436</v>
      </c>
      <c r="L52" s="848"/>
      <c r="M52" s="848"/>
      <c r="N52" s="848"/>
    </row>
    <row r="53" spans="1:14" ht="76.5" hidden="1">
      <c r="A53" s="848"/>
      <c r="B53" s="848"/>
      <c r="C53" s="119" t="s">
        <v>514</v>
      </c>
      <c r="D53" s="119" t="s">
        <v>515</v>
      </c>
      <c r="E53" s="119" t="s">
        <v>467</v>
      </c>
      <c r="F53" s="119" t="s">
        <v>468</v>
      </c>
      <c r="G53" s="119" t="s">
        <v>516</v>
      </c>
      <c r="H53" s="119" t="s">
        <v>515</v>
      </c>
      <c r="I53" s="119" t="s">
        <v>467</v>
      </c>
      <c r="J53" s="119" t="s">
        <v>468</v>
      </c>
      <c r="K53" s="119" t="s">
        <v>516</v>
      </c>
      <c r="L53" s="119" t="s">
        <v>515</v>
      </c>
      <c r="M53" s="119" t="s">
        <v>467</v>
      </c>
      <c r="N53" s="119" t="s">
        <v>468</v>
      </c>
    </row>
    <row r="54" spans="1:14" ht="51" hidden="1">
      <c r="A54" s="119">
        <v>1</v>
      </c>
      <c r="B54" s="144" t="s">
        <v>517</v>
      </c>
      <c r="C54" s="134">
        <v>1200</v>
      </c>
      <c r="D54" s="151">
        <v>0</v>
      </c>
      <c r="E54" s="151">
        <v>0</v>
      </c>
      <c r="F54" s="134">
        <v>0</v>
      </c>
      <c r="G54" s="134">
        <v>1200</v>
      </c>
      <c r="H54" s="151">
        <v>0</v>
      </c>
      <c r="I54" s="151">
        <v>0</v>
      </c>
      <c r="J54" s="134">
        <f>G54*H54</f>
        <v>0</v>
      </c>
      <c r="K54" s="134">
        <v>1200</v>
      </c>
      <c r="L54" s="151">
        <v>0</v>
      </c>
      <c r="M54" s="151">
        <v>0</v>
      </c>
      <c r="N54" s="134">
        <f>K54*L54</f>
        <v>0</v>
      </c>
    </row>
    <row r="55" spans="1:14" hidden="1">
      <c r="A55" s="119"/>
      <c r="B55" s="173" t="s">
        <v>475</v>
      </c>
      <c r="C55" s="119" t="s">
        <v>32</v>
      </c>
      <c r="D55" s="119">
        <f>SUM(D54)</f>
        <v>0</v>
      </c>
      <c r="E55" s="119">
        <f>SUM(E54)</f>
        <v>0</v>
      </c>
      <c r="F55" s="137">
        <f>F54</f>
        <v>0</v>
      </c>
      <c r="G55" s="154" t="s">
        <v>32</v>
      </c>
      <c r="H55" s="119">
        <f>SUM(H54)</f>
        <v>0</v>
      </c>
      <c r="I55" s="119">
        <f>SUM(I54)</f>
        <v>0</v>
      </c>
      <c r="J55" s="137">
        <f>J54</f>
        <v>0</v>
      </c>
      <c r="K55" s="154" t="s">
        <v>32</v>
      </c>
      <c r="L55" s="119">
        <f>SUM(L54)</f>
        <v>0</v>
      </c>
      <c r="M55" s="119">
        <f>SUM(M54)</f>
        <v>0</v>
      </c>
      <c r="N55" s="137">
        <f>N54</f>
        <v>0</v>
      </c>
    </row>
    <row r="56" spans="1:14" hidden="1"/>
    <row r="58" spans="1:14" s="168" customFormat="1" hidden="1">
      <c r="A58" s="140" t="s">
        <v>456</v>
      </c>
    </row>
    <row r="59" spans="1:14" hidden="1">
      <c r="A59" s="138" t="s">
        <v>457</v>
      </c>
    </row>
    <row r="60" spans="1:14" hidden="1">
      <c r="A60" s="138" t="s">
        <v>458</v>
      </c>
    </row>
    <row r="61" spans="1:14" hidden="1">
      <c r="A61" s="138" t="s">
        <v>499</v>
      </c>
    </row>
    <row r="62" spans="1:14" ht="25.5" hidden="1" customHeight="1">
      <c r="A62" s="848" t="s">
        <v>307</v>
      </c>
      <c r="B62" s="848" t="s">
        <v>465</v>
      </c>
      <c r="C62" s="848" t="s">
        <v>744</v>
      </c>
      <c r="D62" s="848"/>
      <c r="E62" s="848"/>
      <c r="F62" s="848" t="s">
        <v>745</v>
      </c>
      <c r="G62" s="848"/>
      <c r="H62" s="848"/>
      <c r="I62" s="848" t="s">
        <v>746</v>
      </c>
      <c r="J62" s="848"/>
      <c r="K62" s="848"/>
    </row>
    <row r="63" spans="1:14" ht="38.25" hidden="1" customHeight="1">
      <c r="A63" s="848"/>
      <c r="B63" s="848"/>
      <c r="C63" s="315" t="s">
        <v>500</v>
      </c>
      <c r="D63" s="315">
        <v>0</v>
      </c>
      <c r="E63" s="315">
        <v>0</v>
      </c>
      <c r="F63" s="315">
        <v>0</v>
      </c>
      <c r="G63" s="315" t="s">
        <v>477</v>
      </c>
      <c r="H63" s="315" t="s">
        <v>468</v>
      </c>
      <c r="I63" s="315" t="s">
        <v>500</v>
      </c>
      <c r="J63" s="315" t="s">
        <v>477</v>
      </c>
      <c r="K63" s="315" t="s">
        <v>468</v>
      </c>
    </row>
    <row r="64" spans="1:14" ht="25.5" hidden="1">
      <c r="A64" s="315">
        <v>1</v>
      </c>
      <c r="B64" s="314" t="s">
        <v>712</v>
      </c>
      <c r="C64" s="219">
        <v>4492.6000000000004</v>
      </c>
      <c r="D64" s="169">
        <v>1</v>
      </c>
      <c r="E64" s="219">
        <f>C64*D64</f>
        <v>4492.6000000000004</v>
      </c>
      <c r="F64" s="219">
        <v>0</v>
      </c>
      <c r="G64" s="315">
        <v>0</v>
      </c>
      <c r="H64" s="219">
        <f>F64*G64</f>
        <v>0</v>
      </c>
      <c r="I64" s="219">
        <v>0</v>
      </c>
      <c r="J64" s="315">
        <v>0</v>
      </c>
      <c r="K64" s="219">
        <f>I64*J64</f>
        <v>0</v>
      </c>
    </row>
    <row r="65" spans="1:11" hidden="1">
      <c r="A65" s="315">
        <v>9</v>
      </c>
      <c r="B65" s="315" t="s">
        <v>475</v>
      </c>
      <c r="C65" s="219" t="s">
        <v>32</v>
      </c>
      <c r="D65" s="315">
        <f>D64</f>
        <v>1</v>
      </c>
      <c r="E65" s="219">
        <f>E64</f>
        <v>4492.6000000000004</v>
      </c>
      <c r="F65" s="219">
        <v>0</v>
      </c>
      <c r="G65" s="329">
        <v>0</v>
      </c>
      <c r="H65" s="219">
        <f>F65*G65</f>
        <v>0</v>
      </c>
      <c r="I65" s="219">
        <v>0</v>
      </c>
      <c r="J65" s="329">
        <v>0</v>
      </c>
      <c r="K65" s="219">
        <f>I65*J65</f>
        <v>0</v>
      </c>
    </row>
    <row r="273" spans="6:7">
      <c r="F273" s="186" t="e">
        <f>#REF!+#REF!+#REF!+'Лист7(214,266)'!E10+'Лист7(214,266)'!F33+'Лист7(214,266)'!E65+#REF!+#REF!+#REF!+#REF!+#REF!+#REF!+#REF!+'Лист11(225)'!F19+'Лист11(225)'!G35+'Лист11(225)'!G64+'Лист12(224,225,226,310,342-349'!G36+'Лист12(224,225,226,310,342-349'!G70+'Лист12(224,225,226,310,342-349'!G80+'Лист12(224,225,226,310,342-349'!G165+'Лист12(224,225,226,310,342-349'!G220+'Лист12(224,225,226,310,342-349'!G230+'Лист12(224,225,226,310,342-349'!G240+'Лист6(211,212,226,266)'!E56+#REF!+F174</f>
        <v>#REF!</v>
      </c>
      <c r="G273" s="186" t="e">
        <f>#REF!+#REF!+#REF!+'Лист7(214,266)'!H10+'Лист7(214,266)'!J33+'Лист7(214,266)'!H65+#REF!+#REF!+#REF!+#REF!+#REF!+#REF!+#REF!+'Лист11(225)'!J19+'Лист11(225)'!K35+'Лист11(225)'!K64+'Лист12(224,225,226,310,342-349'!K36+'Лист12(224,225,226,310,342-349'!J70+'Лист12(224,225,226,310,342-349'!J80+'Лист12(224,225,226,310,342-349'!J165</f>
        <v>#REF!</v>
      </c>
    </row>
  </sheetData>
  <mergeCells count="43">
    <mergeCell ref="A1:N1"/>
    <mergeCell ref="A7:A8"/>
    <mergeCell ref="B7:B8"/>
    <mergeCell ref="C7:E7"/>
    <mergeCell ref="F7:H7"/>
    <mergeCell ref="I7:K7"/>
    <mergeCell ref="A39:A42"/>
    <mergeCell ref="B39:B42"/>
    <mergeCell ref="C39:F39"/>
    <mergeCell ref="G39:J39"/>
    <mergeCell ref="A18:A19"/>
    <mergeCell ref="B18:B19"/>
    <mergeCell ref="C18:E18"/>
    <mergeCell ref="F18:H18"/>
    <mergeCell ref="I18:K18"/>
    <mergeCell ref="A30:A31"/>
    <mergeCell ref="B30:B31"/>
    <mergeCell ref="C30:F30"/>
    <mergeCell ref="G30:J30"/>
    <mergeCell ref="K30:N30"/>
    <mergeCell ref="K39:N39"/>
    <mergeCell ref="C40:C42"/>
    <mergeCell ref="A52:A53"/>
    <mergeCell ref="B52:B53"/>
    <mergeCell ref="C52:F52"/>
    <mergeCell ref="G52:J52"/>
    <mergeCell ref="K52:N52"/>
    <mergeCell ref="N40:N42"/>
    <mergeCell ref="D40:D42"/>
    <mergeCell ref="E40:E42"/>
    <mergeCell ref="F40:F42"/>
    <mergeCell ref="G40:G42"/>
    <mergeCell ref="M40:M42"/>
    <mergeCell ref="H40:H42"/>
    <mergeCell ref="I40:I42"/>
    <mergeCell ref="J40:J42"/>
    <mergeCell ref="K40:K42"/>
    <mergeCell ref="L40:L42"/>
    <mergeCell ref="A62:A63"/>
    <mergeCell ref="B62:B63"/>
    <mergeCell ref="C62:E62"/>
    <mergeCell ref="F62:H62"/>
    <mergeCell ref="I62:K62"/>
  </mergeCells>
  <pageMargins left="0.70866141732283472" right="0.70866141732283472" top="0.74803149606299213" bottom="0.74803149606299213" header="0.31496062992125984" footer="0.31496062992125984"/>
  <pageSetup paperSize="9" scale="44"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DA108"/>
  <sheetViews>
    <sheetView view="pageBreakPreview" topLeftCell="O1" zoomScale="70" zoomScaleNormal="85" zoomScaleSheetLayoutView="70" workbookViewId="0">
      <selection activeCell="DN11" sqref="DN11"/>
    </sheetView>
  </sheetViews>
  <sheetFormatPr defaultRowHeight="10.15" customHeight="1"/>
  <cols>
    <col min="1" max="3" width="0.85546875" style="28" bestFit="1" customWidth="1"/>
    <col min="4" max="4" width="3" style="28" customWidth="1"/>
    <col min="5" max="7" width="0.85546875" style="28" bestFit="1" customWidth="1"/>
    <col min="8" max="8" width="3" style="28" customWidth="1"/>
    <col min="9" max="9" width="2" style="28" customWidth="1"/>
    <col min="10" max="10" width="0.85546875" style="28" bestFit="1" customWidth="1"/>
    <col min="11" max="11" width="4.5703125" style="28" customWidth="1"/>
    <col min="12" max="23" width="0.85546875" style="28" bestFit="1" customWidth="1"/>
    <col min="24" max="25" width="1.5703125" style="28" customWidth="1"/>
    <col min="26" max="32" width="0.85546875" style="28" bestFit="1" customWidth="1"/>
    <col min="33" max="33" width="1.42578125" style="28" customWidth="1"/>
    <col min="34" max="34" width="2.42578125" style="28" customWidth="1"/>
    <col min="35" max="37" width="1" style="28" bestFit="1" customWidth="1"/>
    <col min="38" max="45" width="0.85546875" style="28" bestFit="1" customWidth="1"/>
    <col min="46" max="46" width="4" style="28" customWidth="1"/>
    <col min="47" max="51" width="0.85546875" style="28" bestFit="1" customWidth="1"/>
    <col min="52" max="52" width="3" style="28" customWidth="1"/>
    <col min="53" max="73" width="0.85546875" style="28" bestFit="1" customWidth="1"/>
    <col min="74" max="74" width="6.42578125" style="28" customWidth="1"/>
    <col min="75" max="90" width="0.85546875" style="28" bestFit="1" customWidth="1"/>
    <col min="91" max="91" width="0.85546875" style="28" customWidth="1"/>
    <col min="92" max="93" width="0.85546875" style="28" bestFit="1" customWidth="1"/>
    <col min="94" max="94" width="0.85546875" style="28" customWidth="1"/>
    <col min="95" max="95" width="0.85546875" style="28" bestFit="1" customWidth="1"/>
    <col min="96" max="96" width="3" style="28" customWidth="1"/>
    <col min="97" max="98" width="0.85546875" style="28" bestFit="1" customWidth="1"/>
    <col min="99" max="99" width="3.7109375" style="28" customWidth="1"/>
    <col min="100" max="100" width="7.85546875" style="28" customWidth="1"/>
    <col min="101" max="101" width="8.85546875" style="28" customWidth="1"/>
    <col min="102" max="102" width="20.85546875" style="601" customWidth="1"/>
    <col min="103" max="103" width="18.140625" style="28" customWidth="1"/>
    <col min="104" max="104" width="19.85546875" style="28" customWidth="1"/>
    <col min="105" max="105" width="13.85546875" style="28" customWidth="1"/>
    <col min="106" max="106" width="9.140625" style="28" bestFit="1"/>
    <col min="107" max="16384" width="9.140625" style="28"/>
  </cols>
  <sheetData>
    <row r="1" spans="1:105" ht="30.75" customHeight="1">
      <c r="B1" s="936" t="s">
        <v>226</v>
      </c>
      <c r="C1" s="936"/>
      <c r="D1" s="936"/>
      <c r="E1" s="936"/>
      <c r="F1" s="936"/>
      <c r="G1" s="936"/>
      <c r="H1" s="936"/>
      <c r="I1" s="936"/>
      <c r="J1" s="936"/>
      <c r="K1" s="936"/>
      <c r="L1" s="936"/>
      <c r="M1" s="936"/>
      <c r="N1" s="936"/>
      <c r="O1" s="936"/>
      <c r="P1" s="936"/>
      <c r="Q1" s="936"/>
      <c r="R1" s="936"/>
      <c r="S1" s="936"/>
      <c r="T1" s="936"/>
      <c r="U1" s="936"/>
      <c r="V1" s="936"/>
      <c r="W1" s="936"/>
      <c r="X1" s="936"/>
      <c r="Y1" s="936"/>
      <c r="Z1" s="936"/>
      <c r="AA1" s="936"/>
      <c r="AB1" s="936"/>
      <c r="AC1" s="936"/>
      <c r="AD1" s="936"/>
      <c r="AE1" s="936"/>
      <c r="AF1" s="936"/>
      <c r="AG1" s="936"/>
      <c r="AH1" s="936"/>
      <c r="AI1" s="936"/>
      <c r="AJ1" s="936"/>
      <c r="AK1" s="936"/>
      <c r="AL1" s="936"/>
      <c r="AM1" s="936"/>
      <c r="AN1" s="936"/>
      <c r="AO1" s="936"/>
      <c r="AP1" s="936"/>
      <c r="AQ1" s="936"/>
      <c r="AR1" s="936"/>
      <c r="AS1" s="936"/>
      <c r="AT1" s="936"/>
      <c r="AU1" s="936"/>
      <c r="AV1" s="936"/>
      <c r="AW1" s="936"/>
      <c r="AX1" s="936"/>
      <c r="AY1" s="936"/>
      <c r="AZ1" s="936"/>
      <c r="BA1" s="936"/>
      <c r="BB1" s="936"/>
      <c r="BC1" s="936"/>
      <c r="BD1" s="936"/>
      <c r="BE1" s="936"/>
      <c r="BF1" s="936"/>
      <c r="BG1" s="936"/>
      <c r="BH1" s="936"/>
      <c r="BI1" s="936"/>
      <c r="BJ1" s="936"/>
      <c r="BK1" s="936"/>
      <c r="BL1" s="936"/>
      <c r="BM1" s="936"/>
      <c r="BN1" s="936"/>
      <c r="BO1" s="936"/>
      <c r="BP1" s="936"/>
      <c r="BQ1" s="936"/>
      <c r="BR1" s="936"/>
      <c r="BS1" s="936"/>
      <c r="BT1" s="936"/>
      <c r="BU1" s="936"/>
      <c r="BV1" s="936"/>
      <c r="BW1" s="936"/>
      <c r="BX1" s="936"/>
      <c r="BY1" s="936"/>
      <c r="BZ1" s="936"/>
      <c r="CA1" s="936"/>
      <c r="CB1" s="936"/>
      <c r="CC1" s="936"/>
      <c r="CD1" s="936"/>
      <c r="CE1" s="936"/>
      <c r="CF1" s="936"/>
      <c r="CG1" s="936"/>
      <c r="CH1" s="936"/>
      <c r="CI1" s="936"/>
      <c r="CJ1" s="936"/>
      <c r="CK1" s="936"/>
      <c r="CL1" s="936"/>
      <c r="CM1" s="936"/>
      <c r="CN1" s="936"/>
      <c r="CO1" s="936"/>
      <c r="CP1" s="936"/>
      <c r="CQ1" s="936"/>
      <c r="CR1" s="936"/>
      <c r="CS1" s="936"/>
      <c r="CT1" s="936"/>
      <c r="CU1" s="936"/>
      <c r="CV1" s="936"/>
      <c r="CW1" s="936"/>
      <c r="CX1" s="936"/>
      <c r="CY1" s="936"/>
      <c r="CZ1" s="936"/>
      <c r="DA1" s="936"/>
    </row>
    <row r="2" spans="1:105" ht="15"/>
    <row r="3" spans="1:105" ht="11.25" customHeight="1">
      <c r="A3" s="937" t="s">
        <v>227</v>
      </c>
      <c r="B3" s="937"/>
      <c r="C3" s="937"/>
      <c r="D3" s="937"/>
      <c r="E3" s="937"/>
      <c r="F3" s="937"/>
      <c r="G3" s="937"/>
      <c r="H3" s="937"/>
      <c r="I3" s="938" t="s">
        <v>10</v>
      </c>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c r="AV3" s="938"/>
      <c r="AW3" s="938"/>
      <c r="AX3" s="938"/>
      <c r="AY3" s="938"/>
      <c r="AZ3" s="938"/>
      <c r="BA3" s="938"/>
      <c r="BB3" s="938"/>
      <c r="BC3" s="938"/>
      <c r="BD3" s="938"/>
      <c r="BE3" s="938"/>
      <c r="BF3" s="938"/>
      <c r="BG3" s="938"/>
      <c r="BH3" s="938"/>
      <c r="BI3" s="938"/>
      <c r="BJ3" s="938"/>
      <c r="BK3" s="938"/>
      <c r="BL3" s="938"/>
      <c r="BM3" s="938"/>
      <c r="BN3" s="938"/>
      <c r="BO3" s="938"/>
      <c r="BP3" s="938"/>
      <c r="BQ3" s="938"/>
      <c r="BR3" s="938"/>
      <c r="BS3" s="938"/>
      <c r="BT3" s="938"/>
      <c r="BU3" s="938"/>
      <c r="BV3" s="938"/>
      <c r="BW3" s="938"/>
      <c r="BX3" s="938"/>
      <c r="BY3" s="938"/>
      <c r="BZ3" s="938"/>
      <c r="CA3" s="938"/>
      <c r="CB3" s="938"/>
      <c r="CC3" s="938"/>
      <c r="CD3" s="938"/>
      <c r="CE3" s="938"/>
      <c r="CF3" s="938"/>
      <c r="CG3" s="938"/>
      <c r="CH3" s="938"/>
      <c r="CI3" s="938"/>
      <c r="CJ3" s="938"/>
      <c r="CK3" s="938"/>
      <c r="CL3" s="938"/>
      <c r="CM3" s="939"/>
      <c r="CN3" s="945" t="s">
        <v>228</v>
      </c>
      <c r="CO3" s="938"/>
      <c r="CP3" s="938"/>
      <c r="CQ3" s="938"/>
      <c r="CR3" s="938"/>
      <c r="CS3" s="938"/>
      <c r="CT3" s="938"/>
      <c r="CU3" s="939"/>
      <c r="CV3" s="945" t="s">
        <v>229</v>
      </c>
      <c r="CW3" s="945" t="s">
        <v>387</v>
      </c>
      <c r="CX3" s="948" t="s">
        <v>14</v>
      </c>
      <c r="CY3" s="949"/>
      <c r="CZ3" s="949"/>
      <c r="DA3" s="950"/>
    </row>
    <row r="4" spans="1:105" ht="18" customHeight="1">
      <c r="A4" s="937"/>
      <c r="B4" s="937"/>
      <c r="C4" s="937"/>
      <c r="D4" s="937"/>
      <c r="E4" s="937"/>
      <c r="F4" s="937"/>
      <c r="G4" s="937"/>
      <c r="H4" s="937"/>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940"/>
      <c r="BA4" s="940"/>
      <c r="BB4" s="940"/>
      <c r="BC4" s="940"/>
      <c r="BD4" s="940"/>
      <c r="BE4" s="940"/>
      <c r="BF4" s="940"/>
      <c r="BG4" s="940"/>
      <c r="BH4" s="940"/>
      <c r="BI4" s="940"/>
      <c r="BJ4" s="940"/>
      <c r="BK4" s="940"/>
      <c r="BL4" s="940"/>
      <c r="BM4" s="940"/>
      <c r="BN4" s="940"/>
      <c r="BO4" s="940"/>
      <c r="BP4" s="940"/>
      <c r="BQ4" s="940"/>
      <c r="BR4" s="940"/>
      <c r="BS4" s="940"/>
      <c r="BT4" s="940"/>
      <c r="BU4" s="940"/>
      <c r="BV4" s="940"/>
      <c r="BW4" s="940"/>
      <c r="BX4" s="940"/>
      <c r="BY4" s="940"/>
      <c r="BZ4" s="940"/>
      <c r="CA4" s="940"/>
      <c r="CB4" s="940"/>
      <c r="CC4" s="940"/>
      <c r="CD4" s="940"/>
      <c r="CE4" s="940"/>
      <c r="CF4" s="940"/>
      <c r="CG4" s="940"/>
      <c r="CH4" s="940"/>
      <c r="CI4" s="940"/>
      <c r="CJ4" s="940"/>
      <c r="CK4" s="940"/>
      <c r="CL4" s="940"/>
      <c r="CM4" s="941"/>
      <c r="CN4" s="946"/>
      <c r="CO4" s="940"/>
      <c r="CP4" s="940"/>
      <c r="CQ4" s="940"/>
      <c r="CR4" s="940"/>
      <c r="CS4" s="940"/>
      <c r="CT4" s="940"/>
      <c r="CU4" s="941"/>
      <c r="CV4" s="946"/>
      <c r="CW4" s="946"/>
      <c r="CX4" s="602" t="s">
        <v>17</v>
      </c>
      <c r="CY4" s="486" t="s">
        <v>424</v>
      </c>
      <c r="CZ4" s="486" t="s">
        <v>790</v>
      </c>
      <c r="DA4" s="951" t="s">
        <v>18</v>
      </c>
    </row>
    <row r="5" spans="1:105" ht="39" customHeight="1">
      <c r="A5" s="937"/>
      <c r="B5" s="937"/>
      <c r="C5" s="937"/>
      <c r="D5" s="937"/>
      <c r="E5" s="937"/>
      <c r="F5" s="937"/>
      <c r="G5" s="937"/>
      <c r="H5" s="937"/>
      <c r="I5" s="942"/>
      <c r="J5" s="942"/>
      <c r="K5" s="942"/>
      <c r="L5" s="942"/>
      <c r="M5" s="942"/>
      <c r="N5" s="943"/>
      <c r="O5" s="943"/>
      <c r="P5" s="943"/>
      <c r="Q5" s="943"/>
      <c r="R5" s="943"/>
      <c r="S5" s="943"/>
      <c r="T5" s="943"/>
      <c r="U5" s="943"/>
      <c r="V5" s="943"/>
      <c r="W5" s="943"/>
      <c r="X5" s="943"/>
      <c r="Y5" s="943"/>
      <c r="Z5" s="943"/>
      <c r="AA5" s="943"/>
      <c r="AB5" s="943"/>
      <c r="AC5" s="943"/>
      <c r="AD5" s="943"/>
      <c r="AE5" s="943"/>
      <c r="AF5" s="943"/>
      <c r="AG5" s="943"/>
      <c r="AH5" s="943"/>
      <c r="AI5" s="943"/>
      <c r="AJ5" s="943"/>
      <c r="AK5" s="943"/>
      <c r="AL5" s="943"/>
      <c r="AM5" s="943"/>
      <c r="AN5" s="943"/>
      <c r="AO5" s="943"/>
      <c r="AP5" s="943"/>
      <c r="AQ5" s="943"/>
      <c r="AR5" s="943"/>
      <c r="AS5" s="943"/>
      <c r="AT5" s="943"/>
      <c r="AU5" s="943"/>
      <c r="AV5" s="943"/>
      <c r="AW5" s="943"/>
      <c r="AX5" s="943"/>
      <c r="AY5" s="943"/>
      <c r="AZ5" s="943"/>
      <c r="BA5" s="943"/>
      <c r="BB5" s="943"/>
      <c r="BC5" s="943"/>
      <c r="BD5" s="943"/>
      <c r="BE5" s="943"/>
      <c r="BF5" s="943"/>
      <c r="BG5" s="943"/>
      <c r="BH5" s="943"/>
      <c r="BI5" s="943"/>
      <c r="BJ5" s="943"/>
      <c r="BK5" s="943"/>
      <c r="BL5" s="943"/>
      <c r="BM5" s="943"/>
      <c r="BN5" s="943"/>
      <c r="BO5" s="943"/>
      <c r="BP5" s="943"/>
      <c r="BQ5" s="943"/>
      <c r="BR5" s="943"/>
      <c r="BS5" s="943"/>
      <c r="BT5" s="943"/>
      <c r="BU5" s="943"/>
      <c r="BV5" s="943"/>
      <c r="BW5" s="943"/>
      <c r="BX5" s="943"/>
      <c r="BY5" s="943"/>
      <c r="BZ5" s="943"/>
      <c r="CA5" s="943"/>
      <c r="CB5" s="943"/>
      <c r="CC5" s="943"/>
      <c r="CD5" s="943"/>
      <c r="CE5" s="943"/>
      <c r="CF5" s="943"/>
      <c r="CG5" s="943"/>
      <c r="CH5" s="943"/>
      <c r="CI5" s="943"/>
      <c r="CJ5" s="943"/>
      <c r="CK5" s="943"/>
      <c r="CL5" s="943"/>
      <c r="CM5" s="944"/>
      <c r="CN5" s="947"/>
      <c r="CO5" s="943"/>
      <c r="CP5" s="943"/>
      <c r="CQ5" s="943"/>
      <c r="CR5" s="943"/>
      <c r="CS5" s="943"/>
      <c r="CT5" s="943"/>
      <c r="CU5" s="944"/>
      <c r="CV5" s="947"/>
      <c r="CW5" s="947"/>
      <c r="CX5" s="603" t="s">
        <v>230</v>
      </c>
      <c r="CY5" s="487" t="s">
        <v>231</v>
      </c>
      <c r="CZ5" s="487" t="s">
        <v>232</v>
      </c>
      <c r="DA5" s="952"/>
    </row>
    <row r="6" spans="1:105" ht="10.9" customHeight="1">
      <c r="A6" s="808" t="s">
        <v>22</v>
      </c>
      <c r="B6" s="808"/>
      <c r="C6" s="808"/>
      <c r="D6" s="808"/>
      <c r="E6" s="808"/>
      <c r="F6" s="808"/>
      <c r="G6" s="808"/>
      <c r="H6" s="808"/>
      <c r="I6" s="953" t="s">
        <v>23</v>
      </c>
      <c r="J6" s="953"/>
      <c r="K6" s="953"/>
      <c r="L6" s="953"/>
      <c r="M6" s="953"/>
      <c r="N6" s="953"/>
      <c r="O6" s="953"/>
      <c r="P6" s="953"/>
      <c r="Q6" s="953"/>
      <c r="R6" s="953"/>
      <c r="S6" s="953"/>
      <c r="T6" s="953"/>
      <c r="U6" s="953"/>
      <c r="V6" s="953"/>
      <c r="W6" s="953"/>
      <c r="X6" s="953"/>
      <c r="Y6" s="953"/>
      <c r="Z6" s="953"/>
      <c r="AA6" s="953"/>
      <c r="AB6" s="953"/>
      <c r="AC6" s="953"/>
      <c r="AD6" s="953"/>
      <c r="AE6" s="953"/>
      <c r="AF6" s="953"/>
      <c r="AG6" s="953"/>
      <c r="AH6" s="953"/>
      <c r="AI6" s="953"/>
      <c r="AJ6" s="953"/>
      <c r="AK6" s="953"/>
      <c r="AL6" s="953"/>
      <c r="AM6" s="953"/>
      <c r="AN6" s="953"/>
      <c r="AO6" s="953"/>
      <c r="AP6" s="953"/>
      <c r="AQ6" s="953"/>
      <c r="AR6" s="953"/>
      <c r="AS6" s="953"/>
      <c r="AT6" s="953"/>
      <c r="AU6" s="953"/>
      <c r="AV6" s="953"/>
      <c r="AW6" s="953"/>
      <c r="AX6" s="953"/>
      <c r="AY6" s="953"/>
      <c r="AZ6" s="953"/>
      <c r="BA6" s="953"/>
      <c r="BB6" s="953"/>
      <c r="BC6" s="953"/>
      <c r="BD6" s="953"/>
      <c r="BE6" s="953"/>
      <c r="BF6" s="953"/>
      <c r="BG6" s="953"/>
      <c r="BH6" s="953"/>
      <c r="BI6" s="953"/>
      <c r="BJ6" s="953"/>
      <c r="BK6" s="953"/>
      <c r="BL6" s="953"/>
      <c r="BM6" s="953"/>
      <c r="BN6" s="953"/>
      <c r="BO6" s="953"/>
      <c r="BP6" s="953"/>
      <c r="BQ6" s="953"/>
      <c r="BR6" s="953"/>
      <c r="BS6" s="953"/>
      <c r="BT6" s="953"/>
      <c r="BU6" s="953"/>
      <c r="BV6" s="953"/>
      <c r="BW6" s="953"/>
      <c r="BX6" s="953"/>
      <c r="BY6" s="953"/>
      <c r="BZ6" s="953"/>
      <c r="CA6" s="953"/>
      <c r="CB6" s="953"/>
      <c r="CC6" s="953"/>
      <c r="CD6" s="953"/>
      <c r="CE6" s="953"/>
      <c r="CF6" s="953"/>
      <c r="CG6" s="953"/>
      <c r="CH6" s="953"/>
      <c r="CI6" s="953"/>
      <c r="CJ6" s="953"/>
      <c r="CK6" s="953"/>
      <c r="CL6" s="953"/>
      <c r="CM6" s="954"/>
      <c r="CN6" s="955" t="s">
        <v>24</v>
      </c>
      <c r="CO6" s="956"/>
      <c r="CP6" s="956"/>
      <c r="CQ6" s="956"/>
      <c r="CR6" s="956"/>
      <c r="CS6" s="956"/>
      <c r="CT6" s="956"/>
      <c r="CU6" s="957"/>
      <c r="CV6" s="433" t="s">
        <v>25</v>
      </c>
      <c r="CW6" s="433" t="s">
        <v>388</v>
      </c>
      <c r="CX6" s="604" t="s">
        <v>26</v>
      </c>
      <c r="CY6" s="433" t="s">
        <v>27</v>
      </c>
      <c r="CZ6" s="433" t="s">
        <v>28</v>
      </c>
      <c r="DA6" s="112" t="s">
        <v>29</v>
      </c>
    </row>
    <row r="7" spans="1:105" ht="10.9" customHeight="1">
      <c r="A7" s="512"/>
      <c r="B7" s="259"/>
      <c r="C7" s="259"/>
      <c r="D7" s="259"/>
      <c r="E7" s="259"/>
      <c r="F7" s="259"/>
      <c r="G7" s="259"/>
      <c r="H7" s="260"/>
      <c r="I7" s="283"/>
      <c r="J7" s="283"/>
      <c r="K7" s="283"/>
      <c r="L7" s="283"/>
      <c r="M7" s="283"/>
      <c r="N7" s="283"/>
      <c r="O7" s="283"/>
      <c r="P7" s="283"/>
      <c r="Q7" s="284"/>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D7" s="285"/>
      <c r="CE7" s="285"/>
      <c r="CF7" s="285"/>
      <c r="CG7" s="285"/>
      <c r="CH7" s="285"/>
      <c r="CI7" s="285"/>
      <c r="CJ7" s="285"/>
      <c r="CK7" s="285"/>
      <c r="CL7" s="285"/>
      <c r="CM7" s="285"/>
      <c r="CN7" s="261"/>
      <c r="CO7" s="261"/>
      <c r="CP7" s="261"/>
      <c r="CQ7" s="261"/>
      <c r="CR7" s="261"/>
      <c r="CS7" s="261"/>
      <c r="CT7" s="261"/>
      <c r="CU7" s="262"/>
      <c r="CV7" s="263"/>
      <c r="CW7" s="263"/>
      <c r="CX7" s="605"/>
      <c r="CY7" s="263"/>
      <c r="CZ7" s="263"/>
      <c r="DA7" s="513"/>
    </row>
    <row r="8" spans="1:105" customFormat="1" ht="27.75" customHeight="1">
      <c r="A8" s="927">
        <v>1</v>
      </c>
      <c r="B8" s="928"/>
      <c r="C8" s="928"/>
      <c r="D8" s="928"/>
      <c r="E8" s="928"/>
      <c r="F8" s="928"/>
      <c r="G8" s="928"/>
      <c r="H8" s="929"/>
      <c r="I8" s="930" t="s">
        <v>233</v>
      </c>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1"/>
      <c r="AY8" s="931"/>
      <c r="AZ8" s="931"/>
      <c r="BA8" s="931"/>
      <c r="BB8" s="931"/>
      <c r="BC8" s="931"/>
      <c r="BD8" s="931"/>
      <c r="BE8" s="931"/>
      <c r="BF8" s="931"/>
      <c r="BG8" s="931"/>
      <c r="BH8" s="931"/>
      <c r="BI8" s="931"/>
      <c r="BJ8" s="931"/>
      <c r="BK8" s="931"/>
      <c r="BL8" s="931"/>
      <c r="BM8" s="931"/>
      <c r="BN8" s="931"/>
      <c r="BO8" s="931"/>
      <c r="BP8" s="931"/>
      <c r="BQ8" s="931"/>
      <c r="BR8" s="931"/>
      <c r="BS8" s="931"/>
      <c r="BT8" s="931"/>
      <c r="BU8" s="931"/>
      <c r="BV8" s="931"/>
      <c r="BW8" s="931"/>
      <c r="BX8" s="931"/>
      <c r="BY8" s="931"/>
      <c r="BZ8" s="931"/>
      <c r="CA8" s="931"/>
      <c r="CB8" s="931"/>
      <c r="CC8" s="931"/>
      <c r="CD8" s="931"/>
      <c r="CE8" s="931"/>
      <c r="CF8" s="931"/>
      <c r="CG8" s="931"/>
      <c r="CH8" s="931"/>
      <c r="CI8" s="931"/>
      <c r="CJ8" s="931"/>
      <c r="CK8" s="931"/>
      <c r="CL8" s="931"/>
      <c r="CM8" s="931"/>
      <c r="CN8" s="932" t="s">
        <v>234</v>
      </c>
      <c r="CO8" s="933"/>
      <c r="CP8" s="933"/>
      <c r="CQ8" s="933"/>
      <c r="CR8" s="933"/>
      <c r="CS8" s="933"/>
      <c r="CT8" s="933"/>
      <c r="CU8" s="934"/>
      <c r="CV8" s="488" t="s">
        <v>32</v>
      </c>
      <c r="CW8" s="488" t="s">
        <v>32</v>
      </c>
      <c r="CX8" s="606">
        <f>SUM(CX9:CX11,CX15)</f>
        <v>24832578</v>
      </c>
      <c r="CY8" s="489">
        <f>SUM(CY9:CY11,CY15)</f>
        <v>22908114.390000001</v>
      </c>
      <c r="CZ8" s="489">
        <f>SUM(CZ9:CZ11,CZ15)</f>
        <v>15133385.050000001</v>
      </c>
      <c r="DA8" s="514">
        <f>SUM(DA9:DA11,DA15)</f>
        <v>0</v>
      </c>
    </row>
    <row r="9" spans="1:105" customFormat="1" ht="186" customHeight="1">
      <c r="A9" s="914" t="s">
        <v>236</v>
      </c>
      <c r="B9" s="915"/>
      <c r="C9" s="915"/>
      <c r="D9" s="915"/>
      <c r="E9" s="915"/>
      <c r="F9" s="915"/>
      <c r="G9" s="915"/>
      <c r="H9" s="916"/>
      <c r="I9" s="935" t="s">
        <v>791</v>
      </c>
      <c r="J9" s="918"/>
      <c r="K9" s="918"/>
      <c r="L9" s="918"/>
      <c r="M9" s="918"/>
      <c r="N9" s="918"/>
      <c r="O9" s="918"/>
      <c r="P9" s="918"/>
      <c r="Q9" s="918"/>
      <c r="R9" s="918"/>
      <c r="S9" s="918"/>
      <c r="T9" s="918"/>
      <c r="U9" s="918"/>
      <c r="V9" s="918"/>
      <c r="W9" s="918"/>
      <c r="X9" s="918"/>
      <c r="Y9" s="918"/>
      <c r="Z9" s="918"/>
      <c r="AA9" s="918"/>
      <c r="AB9" s="918"/>
      <c r="AC9" s="918"/>
      <c r="AD9" s="918"/>
      <c r="AE9" s="918"/>
      <c r="AF9" s="918"/>
      <c r="AG9" s="918"/>
      <c r="AH9" s="918"/>
      <c r="AI9" s="918"/>
      <c r="AJ9" s="918"/>
      <c r="AK9" s="918"/>
      <c r="AL9" s="918"/>
      <c r="AM9" s="918"/>
      <c r="AN9" s="918"/>
      <c r="AO9" s="918"/>
      <c r="AP9" s="918"/>
      <c r="AQ9" s="918"/>
      <c r="AR9" s="918"/>
      <c r="AS9" s="918"/>
      <c r="AT9" s="918"/>
      <c r="AU9" s="918"/>
      <c r="AV9" s="918"/>
      <c r="AW9" s="918"/>
      <c r="AX9" s="918"/>
      <c r="AY9" s="918"/>
      <c r="AZ9" s="918"/>
      <c r="BA9" s="918"/>
      <c r="BB9" s="918"/>
      <c r="BC9" s="918"/>
      <c r="BD9" s="918"/>
      <c r="BE9" s="918"/>
      <c r="BF9" s="918"/>
      <c r="BG9" s="918"/>
      <c r="BH9" s="918"/>
      <c r="BI9" s="918"/>
      <c r="BJ9" s="918"/>
      <c r="BK9" s="918"/>
      <c r="BL9" s="918"/>
      <c r="BM9" s="918"/>
      <c r="BN9" s="918"/>
      <c r="BO9" s="918"/>
      <c r="BP9" s="918"/>
      <c r="BQ9" s="918"/>
      <c r="BR9" s="918"/>
      <c r="BS9" s="918"/>
      <c r="BT9" s="918"/>
      <c r="BU9" s="918"/>
      <c r="BV9" s="918"/>
      <c r="BW9" s="918"/>
      <c r="BX9" s="918"/>
      <c r="BY9" s="918"/>
      <c r="BZ9" s="918"/>
      <c r="CA9" s="918"/>
      <c r="CB9" s="918"/>
      <c r="CC9" s="918"/>
      <c r="CD9" s="918"/>
      <c r="CE9" s="918"/>
      <c r="CF9" s="918"/>
      <c r="CG9" s="918"/>
      <c r="CH9" s="918"/>
      <c r="CI9" s="918"/>
      <c r="CJ9" s="918"/>
      <c r="CK9" s="918"/>
      <c r="CL9" s="918"/>
      <c r="CM9" s="918"/>
      <c r="CN9" s="919" t="s">
        <v>238</v>
      </c>
      <c r="CO9" s="920"/>
      <c r="CP9" s="920"/>
      <c r="CQ9" s="920"/>
      <c r="CR9" s="920"/>
      <c r="CS9" s="920"/>
      <c r="CT9" s="920"/>
      <c r="CU9" s="921"/>
      <c r="CV9" s="490" t="s">
        <v>32</v>
      </c>
      <c r="CW9" s="490" t="s">
        <v>32</v>
      </c>
      <c r="CX9" s="607">
        <v>0</v>
      </c>
      <c r="CY9" s="491">
        <v>0</v>
      </c>
      <c r="CZ9" s="491">
        <v>0</v>
      </c>
      <c r="DA9" s="515">
        <v>0</v>
      </c>
    </row>
    <row r="10" spans="1:105" customFormat="1" ht="90" customHeight="1">
      <c r="A10" s="914" t="s">
        <v>240</v>
      </c>
      <c r="B10" s="915"/>
      <c r="C10" s="915"/>
      <c r="D10" s="915"/>
      <c r="E10" s="915"/>
      <c r="F10" s="915"/>
      <c r="G10" s="915"/>
      <c r="H10" s="916"/>
      <c r="I10" s="917" t="s">
        <v>696</v>
      </c>
      <c r="J10" s="918"/>
      <c r="K10" s="918"/>
      <c r="L10" s="918"/>
      <c r="M10" s="918"/>
      <c r="N10" s="918"/>
      <c r="O10" s="918"/>
      <c r="P10" s="918"/>
      <c r="Q10" s="918"/>
      <c r="R10" s="918"/>
      <c r="S10" s="918"/>
      <c r="T10" s="918"/>
      <c r="U10" s="918"/>
      <c r="V10" s="918"/>
      <c r="W10" s="918"/>
      <c r="X10" s="918"/>
      <c r="Y10" s="918"/>
      <c r="Z10" s="918"/>
      <c r="AA10" s="918"/>
      <c r="AB10" s="918"/>
      <c r="AC10" s="918"/>
      <c r="AD10" s="918"/>
      <c r="AE10" s="918"/>
      <c r="AF10" s="918"/>
      <c r="AG10" s="918"/>
      <c r="AH10" s="918"/>
      <c r="AI10" s="918"/>
      <c r="AJ10" s="918"/>
      <c r="AK10" s="918"/>
      <c r="AL10" s="918"/>
      <c r="AM10" s="918"/>
      <c r="AN10" s="918"/>
      <c r="AO10" s="918"/>
      <c r="AP10" s="918"/>
      <c r="AQ10" s="918"/>
      <c r="AR10" s="918"/>
      <c r="AS10" s="918"/>
      <c r="AT10" s="918"/>
      <c r="AU10" s="918"/>
      <c r="AV10" s="918"/>
      <c r="AW10" s="918"/>
      <c r="AX10" s="918"/>
      <c r="AY10" s="918"/>
      <c r="AZ10" s="918"/>
      <c r="BA10" s="918"/>
      <c r="BB10" s="918"/>
      <c r="BC10" s="918"/>
      <c r="BD10" s="918"/>
      <c r="BE10" s="918"/>
      <c r="BF10" s="918"/>
      <c r="BG10" s="918"/>
      <c r="BH10" s="918"/>
      <c r="BI10" s="918"/>
      <c r="BJ10" s="918"/>
      <c r="BK10" s="918"/>
      <c r="BL10" s="918"/>
      <c r="BM10" s="918"/>
      <c r="BN10" s="918"/>
      <c r="BO10" s="918"/>
      <c r="BP10" s="918"/>
      <c r="BQ10" s="918"/>
      <c r="BR10" s="918"/>
      <c r="BS10" s="918"/>
      <c r="BT10" s="918"/>
      <c r="BU10" s="918"/>
      <c r="BV10" s="918"/>
      <c r="BW10" s="918"/>
      <c r="BX10" s="918"/>
      <c r="BY10" s="918"/>
      <c r="BZ10" s="918"/>
      <c r="CA10" s="918"/>
      <c r="CB10" s="918"/>
      <c r="CC10" s="918"/>
      <c r="CD10" s="918"/>
      <c r="CE10" s="918"/>
      <c r="CF10" s="918"/>
      <c r="CG10" s="918"/>
      <c r="CH10" s="918"/>
      <c r="CI10" s="918"/>
      <c r="CJ10" s="918"/>
      <c r="CK10" s="918"/>
      <c r="CL10" s="918"/>
      <c r="CM10" s="918"/>
      <c r="CN10" s="919" t="s">
        <v>242</v>
      </c>
      <c r="CO10" s="920"/>
      <c r="CP10" s="920"/>
      <c r="CQ10" s="920"/>
      <c r="CR10" s="920"/>
      <c r="CS10" s="920"/>
      <c r="CT10" s="920"/>
      <c r="CU10" s="921"/>
      <c r="CV10" s="490" t="s">
        <v>32</v>
      </c>
      <c r="CW10" s="490" t="s">
        <v>32</v>
      </c>
      <c r="CX10" s="607">
        <v>0</v>
      </c>
      <c r="CY10" s="491">
        <v>0</v>
      </c>
      <c r="CZ10" s="491">
        <v>0</v>
      </c>
      <c r="DA10" s="515">
        <v>0</v>
      </c>
    </row>
    <row r="11" spans="1:105" customFormat="1" ht="86.25" customHeight="1">
      <c r="A11" s="914" t="s">
        <v>243</v>
      </c>
      <c r="B11" s="915"/>
      <c r="C11" s="915"/>
      <c r="D11" s="915"/>
      <c r="E11" s="915"/>
      <c r="F11" s="915"/>
      <c r="G11" s="915"/>
      <c r="H11" s="916"/>
      <c r="I11" s="917" t="s">
        <v>697</v>
      </c>
      <c r="J11" s="918"/>
      <c r="K11" s="918"/>
      <c r="L11" s="918"/>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c r="AJ11" s="918"/>
      <c r="AK11" s="918"/>
      <c r="AL11" s="918"/>
      <c r="AM11" s="918"/>
      <c r="AN11" s="918"/>
      <c r="AO11" s="918"/>
      <c r="AP11" s="918"/>
      <c r="AQ11" s="918"/>
      <c r="AR11" s="918"/>
      <c r="AS11" s="918"/>
      <c r="AT11" s="918"/>
      <c r="AU11" s="918"/>
      <c r="AV11" s="918"/>
      <c r="AW11" s="918"/>
      <c r="AX11" s="918"/>
      <c r="AY11" s="918"/>
      <c r="AZ11" s="918"/>
      <c r="BA11" s="918"/>
      <c r="BB11" s="918"/>
      <c r="BC11" s="918"/>
      <c r="BD11" s="918"/>
      <c r="BE11" s="918"/>
      <c r="BF11" s="918"/>
      <c r="BG11" s="918"/>
      <c r="BH11" s="918"/>
      <c r="BI11" s="918"/>
      <c r="BJ11" s="918"/>
      <c r="BK11" s="918"/>
      <c r="BL11" s="918"/>
      <c r="BM11" s="918"/>
      <c r="BN11" s="918"/>
      <c r="BO11" s="918"/>
      <c r="BP11" s="918"/>
      <c r="BQ11" s="918"/>
      <c r="BR11" s="918"/>
      <c r="BS11" s="918"/>
      <c r="BT11" s="918"/>
      <c r="BU11" s="918"/>
      <c r="BV11" s="918"/>
      <c r="BW11" s="918"/>
      <c r="BX11" s="918"/>
      <c r="BY11" s="918"/>
      <c r="BZ11" s="918"/>
      <c r="CA11" s="918"/>
      <c r="CB11" s="918"/>
      <c r="CC11" s="918"/>
      <c r="CD11" s="918"/>
      <c r="CE11" s="918"/>
      <c r="CF11" s="918"/>
      <c r="CG11" s="918"/>
      <c r="CH11" s="918"/>
      <c r="CI11" s="918"/>
      <c r="CJ11" s="918"/>
      <c r="CK11" s="918"/>
      <c r="CL11" s="918"/>
      <c r="CM11" s="918"/>
      <c r="CN11" s="919" t="s">
        <v>245</v>
      </c>
      <c r="CO11" s="920"/>
      <c r="CP11" s="920"/>
      <c r="CQ11" s="920"/>
      <c r="CR11" s="920"/>
      <c r="CS11" s="920"/>
      <c r="CT11" s="920"/>
      <c r="CU11" s="921"/>
      <c r="CV11" s="490" t="s">
        <v>32</v>
      </c>
      <c r="CW11" s="490" t="s">
        <v>32</v>
      </c>
      <c r="CX11" s="607">
        <f>SUM(CX12:CX14)</f>
        <v>0</v>
      </c>
      <c r="CY11" s="491">
        <f>SUM(CY12:CY14)</f>
        <v>0</v>
      </c>
      <c r="CZ11" s="491">
        <f>SUM(CZ12:CZ14)</f>
        <v>0</v>
      </c>
      <c r="DA11" s="515">
        <f>SUM(DA12:DA14)</f>
        <v>0</v>
      </c>
    </row>
    <row r="12" spans="1:105" s="181" customFormat="1" ht="43.5" customHeight="1">
      <c r="A12" s="898" t="s">
        <v>390</v>
      </c>
      <c r="B12" s="899"/>
      <c r="C12" s="899"/>
      <c r="D12" s="899"/>
      <c r="E12" s="899"/>
      <c r="F12" s="899"/>
      <c r="G12" s="899"/>
      <c r="H12" s="900"/>
      <c r="I12" s="912" t="s">
        <v>692</v>
      </c>
      <c r="J12" s="913"/>
      <c r="K12" s="913"/>
      <c r="L12" s="913"/>
      <c r="M12" s="913"/>
      <c r="N12" s="913"/>
      <c r="O12" s="913"/>
      <c r="P12" s="913"/>
      <c r="Q12" s="913"/>
      <c r="R12" s="913"/>
      <c r="S12" s="913"/>
      <c r="T12" s="913"/>
      <c r="U12" s="913"/>
      <c r="V12" s="913"/>
      <c r="W12" s="913"/>
      <c r="X12" s="913"/>
      <c r="Y12" s="913"/>
      <c r="Z12" s="913"/>
      <c r="AA12" s="913"/>
      <c r="AB12" s="913"/>
      <c r="AC12" s="913"/>
      <c r="AD12" s="913"/>
      <c r="AE12" s="913"/>
      <c r="AF12" s="913"/>
      <c r="AG12" s="913"/>
      <c r="AH12" s="913"/>
      <c r="AI12" s="913"/>
      <c r="AJ12" s="913"/>
      <c r="AK12" s="913"/>
      <c r="AL12" s="913"/>
      <c r="AM12" s="913"/>
      <c r="AN12" s="913"/>
      <c r="AO12" s="913"/>
      <c r="AP12" s="913"/>
      <c r="AQ12" s="913"/>
      <c r="AR12" s="913"/>
      <c r="AS12" s="913"/>
      <c r="AT12" s="913"/>
      <c r="AU12" s="913"/>
      <c r="AV12" s="913"/>
      <c r="AW12" s="913"/>
      <c r="AX12" s="913"/>
      <c r="AY12" s="913"/>
      <c r="AZ12" s="913"/>
      <c r="BA12" s="913"/>
      <c r="BB12" s="913"/>
      <c r="BC12" s="913"/>
      <c r="BD12" s="913"/>
      <c r="BE12" s="913"/>
      <c r="BF12" s="913"/>
      <c r="BG12" s="913"/>
      <c r="BH12" s="913"/>
      <c r="BI12" s="913"/>
      <c r="BJ12" s="913"/>
      <c r="BK12" s="913"/>
      <c r="BL12" s="913"/>
      <c r="BM12" s="913"/>
      <c r="BN12" s="913"/>
      <c r="BO12" s="913"/>
      <c r="BP12" s="913"/>
      <c r="BQ12" s="913"/>
      <c r="BR12" s="913"/>
      <c r="BS12" s="913"/>
      <c r="BT12" s="913"/>
      <c r="BU12" s="913"/>
      <c r="BV12" s="913"/>
      <c r="BW12" s="913"/>
      <c r="BX12" s="913"/>
      <c r="BY12" s="913"/>
      <c r="BZ12" s="913"/>
      <c r="CA12" s="913"/>
      <c r="CB12" s="913"/>
      <c r="CC12" s="913"/>
      <c r="CD12" s="913"/>
      <c r="CE12" s="913"/>
      <c r="CF12" s="913"/>
      <c r="CG12" s="913"/>
      <c r="CH12" s="913"/>
      <c r="CI12" s="913"/>
      <c r="CJ12" s="913"/>
      <c r="CK12" s="913"/>
      <c r="CL12" s="913"/>
      <c r="CM12" s="913"/>
      <c r="CN12" s="922" t="s">
        <v>392</v>
      </c>
      <c r="CO12" s="923"/>
      <c r="CP12" s="923"/>
      <c r="CQ12" s="923"/>
      <c r="CR12" s="923"/>
      <c r="CS12" s="923"/>
      <c r="CT12" s="923"/>
      <c r="CU12" s="924"/>
      <c r="CV12" s="492" t="s">
        <v>32</v>
      </c>
      <c r="CW12" s="492" t="s">
        <v>32</v>
      </c>
      <c r="CX12" s="608">
        <v>0</v>
      </c>
      <c r="CY12" s="493">
        <v>0</v>
      </c>
      <c r="CZ12" s="493">
        <v>0</v>
      </c>
      <c r="DA12" s="516">
        <v>0</v>
      </c>
    </row>
    <row r="13" spans="1:105" s="181" customFormat="1" ht="36" customHeight="1">
      <c r="A13" s="898"/>
      <c r="B13" s="899"/>
      <c r="C13" s="899"/>
      <c r="D13" s="899"/>
      <c r="E13" s="899"/>
      <c r="F13" s="899"/>
      <c r="G13" s="899"/>
      <c r="H13" s="900"/>
      <c r="I13" s="912" t="s">
        <v>134</v>
      </c>
      <c r="J13" s="913"/>
      <c r="K13" s="913"/>
      <c r="L13" s="913"/>
      <c r="M13" s="913"/>
      <c r="N13" s="913"/>
      <c r="O13" s="913"/>
      <c r="P13" s="913"/>
      <c r="Q13" s="913"/>
      <c r="R13" s="913"/>
      <c r="S13" s="913"/>
      <c r="T13" s="913"/>
      <c r="U13" s="913"/>
      <c r="V13" s="913"/>
      <c r="W13" s="913"/>
      <c r="X13" s="913"/>
      <c r="Y13" s="913"/>
      <c r="Z13" s="913"/>
      <c r="AA13" s="913"/>
      <c r="AB13" s="913"/>
      <c r="AC13" s="913"/>
      <c r="AD13" s="913"/>
      <c r="AE13" s="913"/>
      <c r="AF13" s="913"/>
      <c r="AG13" s="913"/>
      <c r="AH13" s="913"/>
      <c r="AI13" s="913"/>
      <c r="AJ13" s="913"/>
      <c r="AK13" s="913"/>
      <c r="AL13" s="913"/>
      <c r="AM13" s="913"/>
      <c r="AN13" s="913"/>
      <c r="AO13" s="913"/>
      <c r="AP13" s="913"/>
      <c r="AQ13" s="913"/>
      <c r="AR13" s="913"/>
      <c r="AS13" s="913"/>
      <c r="AT13" s="913"/>
      <c r="AU13" s="913"/>
      <c r="AV13" s="913"/>
      <c r="AW13" s="913"/>
      <c r="AX13" s="913"/>
      <c r="AY13" s="913"/>
      <c r="AZ13" s="913"/>
      <c r="BA13" s="913"/>
      <c r="BB13" s="913"/>
      <c r="BC13" s="913"/>
      <c r="BD13" s="913"/>
      <c r="BE13" s="913"/>
      <c r="BF13" s="913"/>
      <c r="BG13" s="913"/>
      <c r="BH13" s="913"/>
      <c r="BI13" s="913"/>
      <c r="BJ13" s="913"/>
      <c r="BK13" s="913"/>
      <c r="BL13" s="913"/>
      <c r="BM13" s="913"/>
      <c r="BN13" s="913"/>
      <c r="BO13" s="913"/>
      <c r="BP13" s="913"/>
      <c r="BQ13" s="913"/>
      <c r="BR13" s="913"/>
      <c r="BS13" s="913"/>
      <c r="BT13" s="913"/>
      <c r="BU13" s="913"/>
      <c r="BV13" s="913"/>
      <c r="BW13" s="913"/>
      <c r="BX13" s="913"/>
      <c r="BY13" s="913"/>
      <c r="BZ13" s="913"/>
      <c r="CA13" s="913"/>
      <c r="CB13" s="913"/>
      <c r="CC13" s="913"/>
      <c r="CD13" s="913"/>
      <c r="CE13" s="913"/>
      <c r="CF13" s="913"/>
      <c r="CG13" s="913"/>
      <c r="CH13" s="913"/>
      <c r="CI13" s="913"/>
      <c r="CJ13" s="913"/>
      <c r="CK13" s="913"/>
      <c r="CL13" s="913"/>
      <c r="CM13" s="913"/>
      <c r="CN13" s="922" t="s">
        <v>394</v>
      </c>
      <c r="CO13" s="923"/>
      <c r="CP13" s="923"/>
      <c r="CQ13" s="923"/>
      <c r="CR13" s="923"/>
      <c r="CS13" s="923"/>
      <c r="CT13" s="923"/>
      <c r="CU13" s="924"/>
      <c r="CV13" s="492"/>
      <c r="CW13" s="492"/>
      <c r="CX13" s="608">
        <v>0</v>
      </c>
      <c r="CY13" s="493">
        <v>0</v>
      </c>
      <c r="CZ13" s="493">
        <v>0</v>
      </c>
      <c r="DA13" s="516">
        <v>0</v>
      </c>
    </row>
    <row r="14" spans="1:105" s="181" customFormat="1" ht="43.5" customHeight="1">
      <c r="A14" s="898" t="s">
        <v>395</v>
      </c>
      <c r="B14" s="899"/>
      <c r="C14" s="899"/>
      <c r="D14" s="899"/>
      <c r="E14" s="899"/>
      <c r="F14" s="899"/>
      <c r="G14" s="899"/>
      <c r="H14" s="900"/>
      <c r="I14" s="912" t="s">
        <v>336</v>
      </c>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3"/>
      <c r="AY14" s="913"/>
      <c r="AZ14" s="913"/>
      <c r="BA14" s="913"/>
      <c r="BB14" s="913"/>
      <c r="BC14" s="913"/>
      <c r="BD14" s="913"/>
      <c r="BE14" s="913"/>
      <c r="BF14" s="913"/>
      <c r="BG14" s="913"/>
      <c r="BH14" s="913"/>
      <c r="BI14" s="913"/>
      <c r="BJ14" s="913"/>
      <c r="BK14" s="913"/>
      <c r="BL14" s="913"/>
      <c r="BM14" s="913"/>
      <c r="BN14" s="913"/>
      <c r="BO14" s="913"/>
      <c r="BP14" s="913"/>
      <c r="BQ14" s="913"/>
      <c r="BR14" s="913"/>
      <c r="BS14" s="913"/>
      <c r="BT14" s="913"/>
      <c r="BU14" s="913"/>
      <c r="BV14" s="913"/>
      <c r="BW14" s="913"/>
      <c r="BX14" s="913"/>
      <c r="BY14" s="913"/>
      <c r="BZ14" s="913"/>
      <c r="CA14" s="913"/>
      <c r="CB14" s="913"/>
      <c r="CC14" s="913"/>
      <c r="CD14" s="913"/>
      <c r="CE14" s="913"/>
      <c r="CF14" s="913"/>
      <c r="CG14" s="913"/>
      <c r="CH14" s="913"/>
      <c r="CI14" s="913"/>
      <c r="CJ14" s="913"/>
      <c r="CK14" s="913"/>
      <c r="CL14" s="913"/>
      <c r="CM14" s="913"/>
      <c r="CN14" s="922" t="s">
        <v>397</v>
      </c>
      <c r="CO14" s="923"/>
      <c r="CP14" s="923"/>
      <c r="CQ14" s="923"/>
      <c r="CR14" s="923"/>
      <c r="CS14" s="923"/>
      <c r="CT14" s="923"/>
      <c r="CU14" s="924"/>
      <c r="CV14" s="492" t="s">
        <v>32</v>
      </c>
      <c r="CW14" s="492" t="s">
        <v>32</v>
      </c>
      <c r="CX14" s="608">
        <v>0</v>
      </c>
      <c r="CY14" s="493">
        <v>0</v>
      </c>
      <c r="CZ14" s="493">
        <v>0</v>
      </c>
      <c r="DA14" s="516">
        <v>0</v>
      </c>
    </row>
    <row r="15" spans="1:105" customFormat="1" ht="84" customHeight="1">
      <c r="A15" s="914" t="s">
        <v>246</v>
      </c>
      <c r="B15" s="915"/>
      <c r="C15" s="915"/>
      <c r="D15" s="915"/>
      <c r="E15" s="915"/>
      <c r="F15" s="915"/>
      <c r="G15" s="915"/>
      <c r="H15" s="916"/>
      <c r="I15" s="917" t="s">
        <v>691</v>
      </c>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8"/>
      <c r="AY15" s="918"/>
      <c r="AZ15" s="918"/>
      <c r="BA15" s="918"/>
      <c r="BB15" s="918"/>
      <c r="BC15" s="918"/>
      <c r="BD15" s="918"/>
      <c r="BE15" s="918"/>
      <c r="BF15" s="918"/>
      <c r="BG15" s="918"/>
      <c r="BH15" s="918"/>
      <c r="BI15" s="918"/>
      <c r="BJ15" s="918"/>
      <c r="BK15" s="918"/>
      <c r="BL15" s="918"/>
      <c r="BM15" s="918"/>
      <c r="BN15" s="918"/>
      <c r="BO15" s="918"/>
      <c r="BP15" s="918"/>
      <c r="BQ15" s="918"/>
      <c r="BR15" s="918"/>
      <c r="BS15" s="918"/>
      <c r="BT15" s="918"/>
      <c r="BU15" s="918"/>
      <c r="BV15" s="918"/>
      <c r="BW15" s="918"/>
      <c r="BX15" s="918"/>
      <c r="BY15" s="918"/>
      <c r="BZ15" s="918"/>
      <c r="CA15" s="918"/>
      <c r="CB15" s="918"/>
      <c r="CC15" s="918"/>
      <c r="CD15" s="918"/>
      <c r="CE15" s="918"/>
      <c r="CF15" s="918"/>
      <c r="CG15" s="918"/>
      <c r="CH15" s="918"/>
      <c r="CI15" s="918"/>
      <c r="CJ15" s="918"/>
      <c r="CK15" s="918"/>
      <c r="CL15" s="918"/>
      <c r="CM15" s="918"/>
      <c r="CN15" s="919" t="s">
        <v>248</v>
      </c>
      <c r="CO15" s="920"/>
      <c r="CP15" s="920"/>
      <c r="CQ15" s="920"/>
      <c r="CR15" s="920"/>
      <c r="CS15" s="920"/>
      <c r="CT15" s="920"/>
      <c r="CU15" s="921"/>
      <c r="CV15" s="490" t="s">
        <v>32</v>
      </c>
      <c r="CW15" s="490" t="s">
        <v>32</v>
      </c>
      <c r="CX15" s="607">
        <f>CX16+CX19+CX23+CX25+CX28</f>
        <v>24832578</v>
      </c>
      <c r="CY15" s="491">
        <f>CY16+CY19+CY23+CY25+CY28</f>
        <v>22908114.390000001</v>
      </c>
      <c r="CZ15" s="491">
        <f>CZ16+CZ19+CZ23+CZ25+CZ28</f>
        <v>15133385.050000001</v>
      </c>
      <c r="DA15" s="515">
        <f>DA16+DA19+DA23+DA25+DA28</f>
        <v>0</v>
      </c>
    </row>
    <row r="16" spans="1:105" customFormat="1" ht="70.5" customHeight="1">
      <c r="A16" s="914" t="s">
        <v>249</v>
      </c>
      <c r="B16" s="915"/>
      <c r="C16" s="915"/>
      <c r="D16" s="915"/>
      <c r="E16" s="915"/>
      <c r="F16" s="915"/>
      <c r="G16" s="915"/>
      <c r="H16" s="916"/>
      <c r="I16" s="925" t="s">
        <v>693</v>
      </c>
      <c r="J16" s="926"/>
      <c r="K16" s="926"/>
      <c r="L16" s="926"/>
      <c r="M16" s="926"/>
      <c r="N16" s="926"/>
      <c r="O16" s="926"/>
      <c r="P16" s="926"/>
      <c r="Q16" s="926"/>
      <c r="R16" s="926"/>
      <c r="S16" s="926"/>
      <c r="T16" s="926"/>
      <c r="U16" s="926"/>
      <c r="V16" s="926"/>
      <c r="W16" s="926"/>
      <c r="X16" s="926"/>
      <c r="Y16" s="926"/>
      <c r="Z16" s="926"/>
      <c r="AA16" s="926"/>
      <c r="AB16" s="926"/>
      <c r="AC16" s="926"/>
      <c r="AD16" s="926"/>
      <c r="AE16" s="926"/>
      <c r="AF16" s="926"/>
      <c r="AG16" s="926"/>
      <c r="AH16" s="926"/>
      <c r="AI16" s="926"/>
      <c r="AJ16" s="926"/>
      <c r="AK16" s="926"/>
      <c r="AL16" s="926"/>
      <c r="AM16" s="926"/>
      <c r="AN16" s="926"/>
      <c r="AO16" s="926"/>
      <c r="AP16" s="926"/>
      <c r="AQ16" s="926"/>
      <c r="AR16" s="926"/>
      <c r="AS16" s="926"/>
      <c r="AT16" s="926"/>
      <c r="AU16" s="926"/>
      <c r="AV16" s="926"/>
      <c r="AW16" s="926"/>
      <c r="AX16" s="926"/>
      <c r="AY16" s="926"/>
      <c r="AZ16" s="926"/>
      <c r="BA16" s="926"/>
      <c r="BB16" s="926"/>
      <c r="BC16" s="926"/>
      <c r="BD16" s="926"/>
      <c r="BE16" s="926"/>
      <c r="BF16" s="926"/>
      <c r="BG16" s="926"/>
      <c r="BH16" s="926"/>
      <c r="BI16" s="926"/>
      <c r="BJ16" s="926"/>
      <c r="BK16" s="926"/>
      <c r="BL16" s="926"/>
      <c r="BM16" s="926"/>
      <c r="BN16" s="926"/>
      <c r="BO16" s="926"/>
      <c r="BP16" s="926"/>
      <c r="BQ16" s="926"/>
      <c r="BR16" s="926"/>
      <c r="BS16" s="926"/>
      <c r="BT16" s="926"/>
      <c r="BU16" s="926"/>
      <c r="BV16" s="926"/>
      <c r="BW16" s="926"/>
      <c r="BX16" s="926"/>
      <c r="BY16" s="926"/>
      <c r="BZ16" s="926"/>
      <c r="CA16" s="926"/>
      <c r="CB16" s="926"/>
      <c r="CC16" s="926"/>
      <c r="CD16" s="926"/>
      <c r="CE16" s="926"/>
      <c r="CF16" s="926"/>
      <c r="CG16" s="926"/>
      <c r="CH16" s="926"/>
      <c r="CI16" s="926"/>
      <c r="CJ16" s="926"/>
      <c r="CK16" s="926"/>
      <c r="CL16" s="926"/>
      <c r="CM16" s="926"/>
      <c r="CN16" s="919" t="s">
        <v>251</v>
      </c>
      <c r="CO16" s="920"/>
      <c r="CP16" s="920"/>
      <c r="CQ16" s="920"/>
      <c r="CR16" s="920"/>
      <c r="CS16" s="920"/>
      <c r="CT16" s="920"/>
      <c r="CU16" s="921"/>
      <c r="CV16" s="490" t="s">
        <v>32</v>
      </c>
      <c r="CW16" s="490" t="s">
        <v>32</v>
      </c>
      <c r="CX16" s="607">
        <f>SUM(CX17:CX18)</f>
        <v>19528554</v>
      </c>
      <c r="CY16" s="491">
        <f>SUM(CY17:CY18)</f>
        <v>17848480.960000001</v>
      </c>
      <c r="CZ16" s="491">
        <f>SUM(CZ17:CZ18)</f>
        <v>10068224.199999999</v>
      </c>
      <c r="DA16" s="515">
        <f>SUM(DA17:DA18)</f>
        <v>0</v>
      </c>
    </row>
    <row r="17" spans="1:105" customFormat="1" ht="35.25" customHeight="1">
      <c r="A17" s="898" t="s">
        <v>252</v>
      </c>
      <c r="B17" s="899"/>
      <c r="C17" s="899"/>
      <c r="D17" s="899"/>
      <c r="E17" s="899"/>
      <c r="F17" s="899"/>
      <c r="G17" s="899"/>
      <c r="H17" s="900"/>
      <c r="I17" s="912" t="s">
        <v>694</v>
      </c>
      <c r="J17" s="913"/>
      <c r="K17" s="913"/>
      <c r="L17" s="913"/>
      <c r="M17" s="913"/>
      <c r="N17" s="913"/>
      <c r="O17" s="913"/>
      <c r="P17" s="913"/>
      <c r="Q17" s="913"/>
      <c r="R17" s="913"/>
      <c r="S17" s="913"/>
      <c r="T17" s="913"/>
      <c r="U17" s="913"/>
      <c r="V17" s="913"/>
      <c r="W17" s="913"/>
      <c r="X17" s="913"/>
      <c r="Y17" s="913"/>
      <c r="Z17" s="913"/>
      <c r="AA17" s="913"/>
      <c r="AB17" s="913"/>
      <c r="AC17" s="913"/>
      <c r="AD17" s="913"/>
      <c r="AE17" s="913"/>
      <c r="AF17" s="913"/>
      <c r="AG17" s="913"/>
      <c r="AH17" s="913"/>
      <c r="AI17" s="913"/>
      <c r="AJ17" s="913"/>
      <c r="AK17" s="913"/>
      <c r="AL17" s="913"/>
      <c r="AM17" s="913"/>
      <c r="AN17" s="913"/>
      <c r="AO17" s="913"/>
      <c r="AP17" s="913"/>
      <c r="AQ17" s="913"/>
      <c r="AR17" s="913"/>
      <c r="AS17" s="913"/>
      <c r="AT17" s="913"/>
      <c r="AU17" s="913"/>
      <c r="AV17" s="913"/>
      <c r="AW17" s="913"/>
      <c r="AX17" s="913"/>
      <c r="AY17" s="913"/>
      <c r="AZ17" s="913"/>
      <c r="BA17" s="913"/>
      <c r="BB17" s="913"/>
      <c r="BC17" s="913"/>
      <c r="BD17" s="913"/>
      <c r="BE17" s="913"/>
      <c r="BF17" s="913"/>
      <c r="BG17" s="913"/>
      <c r="BH17" s="913"/>
      <c r="BI17" s="913"/>
      <c r="BJ17" s="913"/>
      <c r="BK17" s="913"/>
      <c r="BL17" s="913"/>
      <c r="BM17" s="913"/>
      <c r="BN17" s="913"/>
      <c r="BO17" s="913"/>
      <c r="BP17" s="913"/>
      <c r="BQ17" s="913"/>
      <c r="BR17" s="913"/>
      <c r="BS17" s="913"/>
      <c r="BT17" s="913"/>
      <c r="BU17" s="913"/>
      <c r="BV17" s="913"/>
      <c r="BW17" s="913"/>
      <c r="BX17" s="913"/>
      <c r="BY17" s="913"/>
      <c r="BZ17" s="913"/>
      <c r="CA17" s="913"/>
      <c r="CB17" s="913"/>
      <c r="CC17" s="913"/>
      <c r="CD17" s="913"/>
      <c r="CE17" s="913"/>
      <c r="CF17" s="913"/>
      <c r="CG17" s="913"/>
      <c r="CH17" s="913"/>
      <c r="CI17" s="913"/>
      <c r="CJ17" s="913"/>
      <c r="CK17" s="913"/>
      <c r="CL17" s="913"/>
      <c r="CM17" s="913"/>
      <c r="CN17" s="903" t="s">
        <v>254</v>
      </c>
      <c r="CO17" s="904"/>
      <c r="CP17" s="904"/>
      <c r="CQ17" s="904"/>
      <c r="CR17" s="904"/>
      <c r="CS17" s="904"/>
      <c r="CT17" s="904"/>
      <c r="CU17" s="905"/>
      <c r="CV17" s="492" t="s">
        <v>32</v>
      </c>
      <c r="CW17" s="492" t="s">
        <v>32</v>
      </c>
      <c r="CX17" s="608">
        <v>0</v>
      </c>
      <c r="CY17" s="493">
        <v>0</v>
      </c>
      <c r="CZ17" s="493">
        <v>0</v>
      </c>
      <c r="DA17" s="516">
        <v>0</v>
      </c>
    </row>
    <row r="18" spans="1:105" customFormat="1" ht="35.25" customHeight="1">
      <c r="A18" s="898" t="s">
        <v>255</v>
      </c>
      <c r="B18" s="899"/>
      <c r="C18" s="899"/>
      <c r="D18" s="899"/>
      <c r="E18" s="899"/>
      <c r="F18" s="899"/>
      <c r="G18" s="899"/>
      <c r="H18" s="900"/>
      <c r="I18" s="912" t="s">
        <v>336</v>
      </c>
      <c r="J18" s="913"/>
      <c r="K18" s="913"/>
      <c r="L18" s="913"/>
      <c r="M18" s="913"/>
      <c r="N18" s="913"/>
      <c r="O18" s="913"/>
      <c r="P18" s="913"/>
      <c r="Q18" s="913"/>
      <c r="R18" s="913"/>
      <c r="S18" s="913"/>
      <c r="T18" s="913"/>
      <c r="U18" s="913"/>
      <c r="V18" s="913"/>
      <c r="W18" s="913"/>
      <c r="X18" s="913"/>
      <c r="Y18" s="913"/>
      <c r="Z18" s="913"/>
      <c r="AA18" s="913"/>
      <c r="AB18" s="913"/>
      <c r="AC18" s="913"/>
      <c r="AD18" s="913"/>
      <c r="AE18" s="913"/>
      <c r="AF18" s="913"/>
      <c r="AG18" s="913"/>
      <c r="AH18" s="913"/>
      <c r="AI18" s="913"/>
      <c r="AJ18" s="913"/>
      <c r="AK18" s="913"/>
      <c r="AL18" s="913"/>
      <c r="AM18" s="913"/>
      <c r="AN18" s="913"/>
      <c r="AO18" s="913"/>
      <c r="AP18" s="913"/>
      <c r="AQ18" s="913"/>
      <c r="AR18" s="913"/>
      <c r="AS18" s="913"/>
      <c r="AT18" s="913"/>
      <c r="AU18" s="913"/>
      <c r="AV18" s="913"/>
      <c r="AW18" s="913"/>
      <c r="AX18" s="913"/>
      <c r="AY18" s="913"/>
      <c r="AZ18" s="913"/>
      <c r="BA18" s="913"/>
      <c r="BB18" s="913"/>
      <c r="BC18" s="913"/>
      <c r="BD18" s="913"/>
      <c r="BE18" s="913"/>
      <c r="BF18" s="913"/>
      <c r="BG18" s="913"/>
      <c r="BH18" s="913"/>
      <c r="BI18" s="913"/>
      <c r="BJ18" s="913"/>
      <c r="BK18" s="913"/>
      <c r="BL18" s="913"/>
      <c r="BM18" s="913"/>
      <c r="BN18" s="913"/>
      <c r="BO18" s="913"/>
      <c r="BP18" s="913"/>
      <c r="BQ18" s="913"/>
      <c r="BR18" s="913"/>
      <c r="BS18" s="913"/>
      <c r="BT18" s="913"/>
      <c r="BU18" s="913"/>
      <c r="BV18" s="913"/>
      <c r="BW18" s="913"/>
      <c r="BX18" s="913"/>
      <c r="BY18" s="913"/>
      <c r="BZ18" s="913"/>
      <c r="CA18" s="913"/>
      <c r="CB18" s="913"/>
      <c r="CC18" s="913"/>
      <c r="CD18" s="913"/>
      <c r="CE18" s="913"/>
      <c r="CF18" s="913"/>
      <c r="CG18" s="913"/>
      <c r="CH18" s="913"/>
      <c r="CI18" s="913"/>
      <c r="CJ18" s="913"/>
      <c r="CK18" s="913"/>
      <c r="CL18" s="913"/>
      <c r="CM18" s="913"/>
      <c r="CN18" s="903" t="s">
        <v>257</v>
      </c>
      <c r="CO18" s="904"/>
      <c r="CP18" s="904"/>
      <c r="CQ18" s="904"/>
      <c r="CR18" s="904"/>
      <c r="CS18" s="904"/>
      <c r="CT18" s="904"/>
      <c r="CU18" s="905"/>
      <c r="CV18" s="492" t="s">
        <v>32</v>
      </c>
      <c r="CW18" s="492" t="s">
        <v>32</v>
      </c>
      <c r="CX18" s="608">
        <v>19528554</v>
      </c>
      <c r="CY18" s="493">
        <v>17848480.960000001</v>
      </c>
      <c r="CZ18" s="493">
        <v>10068224.199999999</v>
      </c>
      <c r="DA18" s="516">
        <v>0</v>
      </c>
    </row>
    <row r="19" spans="1:105" customFormat="1" ht="72" customHeight="1">
      <c r="A19" s="914" t="s">
        <v>258</v>
      </c>
      <c r="B19" s="915"/>
      <c r="C19" s="915"/>
      <c r="D19" s="915"/>
      <c r="E19" s="915"/>
      <c r="F19" s="915"/>
      <c r="G19" s="915"/>
      <c r="H19" s="916"/>
      <c r="I19" s="925" t="s">
        <v>695</v>
      </c>
      <c r="J19" s="926"/>
      <c r="K19" s="926"/>
      <c r="L19" s="926"/>
      <c r="M19" s="926"/>
      <c r="N19" s="926"/>
      <c r="O19" s="926"/>
      <c r="P19" s="926"/>
      <c r="Q19" s="926"/>
      <c r="R19" s="926"/>
      <c r="S19" s="926"/>
      <c r="T19" s="926"/>
      <c r="U19" s="926"/>
      <c r="V19" s="926"/>
      <c r="W19" s="926"/>
      <c r="X19" s="926"/>
      <c r="Y19" s="926"/>
      <c r="Z19" s="926"/>
      <c r="AA19" s="926"/>
      <c r="AB19" s="926"/>
      <c r="AC19" s="926"/>
      <c r="AD19" s="926"/>
      <c r="AE19" s="926"/>
      <c r="AF19" s="926"/>
      <c r="AG19" s="926"/>
      <c r="AH19" s="926"/>
      <c r="AI19" s="926"/>
      <c r="AJ19" s="926"/>
      <c r="AK19" s="926"/>
      <c r="AL19" s="926"/>
      <c r="AM19" s="926"/>
      <c r="AN19" s="926"/>
      <c r="AO19" s="926"/>
      <c r="AP19" s="926"/>
      <c r="AQ19" s="926"/>
      <c r="AR19" s="926"/>
      <c r="AS19" s="926"/>
      <c r="AT19" s="926"/>
      <c r="AU19" s="926"/>
      <c r="AV19" s="926"/>
      <c r="AW19" s="926"/>
      <c r="AX19" s="926"/>
      <c r="AY19" s="926"/>
      <c r="AZ19" s="926"/>
      <c r="BA19" s="926"/>
      <c r="BB19" s="926"/>
      <c r="BC19" s="926"/>
      <c r="BD19" s="926"/>
      <c r="BE19" s="926"/>
      <c r="BF19" s="926"/>
      <c r="BG19" s="926"/>
      <c r="BH19" s="926"/>
      <c r="BI19" s="926"/>
      <c r="BJ19" s="926"/>
      <c r="BK19" s="926"/>
      <c r="BL19" s="926"/>
      <c r="BM19" s="926"/>
      <c r="BN19" s="926"/>
      <c r="BO19" s="926"/>
      <c r="BP19" s="926"/>
      <c r="BQ19" s="926"/>
      <c r="BR19" s="926"/>
      <c r="BS19" s="926"/>
      <c r="BT19" s="926"/>
      <c r="BU19" s="926"/>
      <c r="BV19" s="926"/>
      <c r="BW19" s="926"/>
      <c r="BX19" s="926"/>
      <c r="BY19" s="926"/>
      <c r="BZ19" s="926"/>
      <c r="CA19" s="926"/>
      <c r="CB19" s="926"/>
      <c r="CC19" s="926"/>
      <c r="CD19" s="926"/>
      <c r="CE19" s="926"/>
      <c r="CF19" s="926"/>
      <c r="CG19" s="926"/>
      <c r="CH19" s="926"/>
      <c r="CI19" s="926"/>
      <c r="CJ19" s="926"/>
      <c r="CK19" s="926"/>
      <c r="CL19" s="926"/>
      <c r="CM19" s="926"/>
      <c r="CN19" s="919" t="s">
        <v>260</v>
      </c>
      <c r="CO19" s="920"/>
      <c r="CP19" s="920"/>
      <c r="CQ19" s="920"/>
      <c r="CR19" s="920"/>
      <c r="CS19" s="920"/>
      <c r="CT19" s="920"/>
      <c r="CU19" s="921"/>
      <c r="CV19" s="490" t="s">
        <v>32</v>
      </c>
      <c r="CW19" s="490" t="s">
        <v>32</v>
      </c>
      <c r="CX19" s="607">
        <f>SUM(CX20:CX22)</f>
        <v>0</v>
      </c>
      <c r="CY19" s="491">
        <f>SUM(CY20:CY22)</f>
        <v>0</v>
      </c>
      <c r="CZ19" s="491">
        <f>SUM(CZ20:CZ22)</f>
        <v>0</v>
      </c>
      <c r="DA19" s="515">
        <f>SUM(DA20:DA22)</f>
        <v>0</v>
      </c>
    </row>
    <row r="20" spans="1:105" customFormat="1" ht="33" customHeight="1">
      <c r="A20" s="898" t="s">
        <v>261</v>
      </c>
      <c r="B20" s="899"/>
      <c r="C20" s="899"/>
      <c r="D20" s="899"/>
      <c r="E20" s="899"/>
      <c r="F20" s="899"/>
      <c r="G20" s="899"/>
      <c r="H20" s="900"/>
      <c r="I20" s="912" t="s">
        <v>692</v>
      </c>
      <c r="J20" s="913"/>
      <c r="K20" s="913"/>
      <c r="L20" s="913"/>
      <c r="M20" s="913"/>
      <c r="N20" s="913"/>
      <c r="O20" s="913"/>
      <c r="P20" s="913"/>
      <c r="Q20" s="913"/>
      <c r="R20" s="913"/>
      <c r="S20" s="913"/>
      <c r="T20" s="913"/>
      <c r="U20" s="913"/>
      <c r="V20" s="913"/>
      <c r="W20" s="913"/>
      <c r="X20" s="913"/>
      <c r="Y20" s="913"/>
      <c r="Z20" s="913"/>
      <c r="AA20" s="913"/>
      <c r="AB20" s="913"/>
      <c r="AC20" s="913"/>
      <c r="AD20" s="913"/>
      <c r="AE20" s="913"/>
      <c r="AF20" s="913"/>
      <c r="AG20" s="913"/>
      <c r="AH20" s="913"/>
      <c r="AI20" s="913"/>
      <c r="AJ20" s="913"/>
      <c r="AK20" s="913"/>
      <c r="AL20" s="913"/>
      <c r="AM20" s="913"/>
      <c r="AN20" s="913"/>
      <c r="AO20" s="913"/>
      <c r="AP20" s="913"/>
      <c r="AQ20" s="913"/>
      <c r="AR20" s="913"/>
      <c r="AS20" s="913"/>
      <c r="AT20" s="913"/>
      <c r="AU20" s="913"/>
      <c r="AV20" s="913"/>
      <c r="AW20" s="913"/>
      <c r="AX20" s="913"/>
      <c r="AY20" s="913"/>
      <c r="AZ20" s="913"/>
      <c r="BA20" s="913"/>
      <c r="BB20" s="913"/>
      <c r="BC20" s="913"/>
      <c r="BD20" s="913"/>
      <c r="BE20" s="913"/>
      <c r="BF20" s="913"/>
      <c r="BG20" s="913"/>
      <c r="BH20" s="913"/>
      <c r="BI20" s="913"/>
      <c r="BJ20" s="913"/>
      <c r="BK20" s="913"/>
      <c r="BL20" s="913"/>
      <c r="BM20" s="913"/>
      <c r="BN20" s="913"/>
      <c r="BO20" s="913"/>
      <c r="BP20" s="913"/>
      <c r="BQ20" s="913"/>
      <c r="BR20" s="913"/>
      <c r="BS20" s="913"/>
      <c r="BT20" s="913"/>
      <c r="BU20" s="913"/>
      <c r="BV20" s="913"/>
      <c r="BW20" s="913"/>
      <c r="BX20" s="913"/>
      <c r="BY20" s="913"/>
      <c r="BZ20" s="913"/>
      <c r="CA20" s="913"/>
      <c r="CB20" s="913"/>
      <c r="CC20" s="913"/>
      <c r="CD20" s="913"/>
      <c r="CE20" s="913"/>
      <c r="CF20" s="913"/>
      <c r="CG20" s="913"/>
      <c r="CH20" s="913"/>
      <c r="CI20" s="913"/>
      <c r="CJ20" s="913"/>
      <c r="CK20" s="913"/>
      <c r="CL20" s="913"/>
      <c r="CM20" s="913"/>
      <c r="CN20" s="903" t="s">
        <v>262</v>
      </c>
      <c r="CO20" s="904"/>
      <c r="CP20" s="904"/>
      <c r="CQ20" s="904"/>
      <c r="CR20" s="904"/>
      <c r="CS20" s="904"/>
      <c r="CT20" s="904"/>
      <c r="CU20" s="905"/>
      <c r="CV20" s="492" t="s">
        <v>32</v>
      </c>
      <c r="CW20" s="492" t="s">
        <v>32</v>
      </c>
      <c r="CX20" s="608">
        <v>0</v>
      </c>
      <c r="CY20" s="493">
        <v>0</v>
      </c>
      <c r="CZ20" s="493">
        <v>0</v>
      </c>
      <c r="DA20" s="516">
        <v>0</v>
      </c>
    </row>
    <row r="21" spans="1:105" s="181" customFormat="1" ht="33" customHeight="1">
      <c r="A21" s="898"/>
      <c r="B21" s="899"/>
      <c r="C21" s="899"/>
      <c r="D21" s="899"/>
      <c r="E21" s="899"/>
      <c r="F21" s="899"/>
      <c r="G21" s="899"/>
      <c r="H21" s="900"/>
      <c r="I21" s="912" t="s">
        <v>134</v>
      </c>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3"/>
      <c r="AY21" s="913"/>
      <c r="AZ21" s="913"/>
      <c r="BA21" s="913"/>
      <c r="BB21" s="913"/>
      <c r="BC21" s="913"/>
      <c r="BD21" s="913"/>
      <c r="BE21" s="913"/>
      <c r="BF21" s="913"/>
      <c r="BG21" s="913"/>
      <c r="BH21" s="913"/>
      <c r="BI21" s="913"/>
      <c r="BJ21" s="913"/>
      <c r="BK21" s="913"/>
      <c r="BL21" s="913"/>
      <c r="BM21" s="913"/>
      <c r="BN21" s="913"/>
      <c r="BO21" s="913"/>
      <c r="BP21" s="913"/>
      <c r="BQ21" s="913"/>
      <c r="BR21" s="913"/>
      <c r="BS21" s="913"/>
      <c r="BT21" s="913"/>
      <c r="BU21" s="913"/>
      <c r="BV21" s="913"/>
      <c r="BW21" s="913"/>
      <c r="BX21" s="913"/>
      <c r="BY21" s="913"/>
      <c r="BZ21" s="913"/>
      <c r="CA21" s="913"/>
      <c r="CB21" s="913"/>
      <c r="CC21" s="913"/>
      <c r="CD21" s="913"/>
      <c r="CE21" s="913"/>
      <c r="CF21" s="913"/>
      <c r="CG21" s="913"/>
      <c r="CH21" s="913"/>
      <c r="CI21" s="913"/>
      <c r="CJ21" s="913"/>
      <c r="CK21" s="913"/>
      <c r="CL21" s="913"/>
      <c r="CM21" s="913"/>
      <c r="CN21" s="922" t="s">
        <v>403</v>
      </c>
      <c r="CO21" s="923"/>
      <c r="CP21" s="923"/>
      <c r="CQ21" s="923"/>
      <c r="CR21" s="923"/>
      <c r="CS21" s="923"/>
      <c r="CT21" s="923"/>
      <c r="CU21" s="924"/>
      <c r="CV21" s="492"/>
      <c r="CW21" s="492"/>
      <c r="CX21" s="608">
        <v>0</v>
      </c>
      <c r="CY21" s="493">
        <v>0</v>
      </c>
      <c r="CZ21" s="493">
        <v>0</v>
      </c>
      <c r="DA21" s="516">
        <v>0</v>
      </c>
    </row>
    <row r="22" spans="1:105" customFormat="1" ht="33" customHeight="1">
      <c r="A22" s="898" t="s">
        <v>263</v>
      </c>
      <c r="B22" s="899"/>
      <c r="C22" s="899"/>
      <c r="D22" s="899"/>
      <c r="E22" s="899"/>
      <c r="F22" s="899"/>
      <c r="G22" s="899"/>
      <c r="H22" s="900"/>
      <c r="I22" s="912" t="s">
        <v>336</v>
      </c>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3"/>
      <c r="AY22" s="913"/>
      <c r="AZ22" s="913"/>
      <c r="BA22" s="913"/>
      <c r="BB22" s="913"/>
      <c r="BC22" s="913"/>
      <c r="BD22" s="913"/>
      <c r="BE22" s="913"/>
      <c r="BF22" s="913"/>
      <c r="BG22" s="913"/>
      <c r="BH22" s="913"/>
      <c r="BI22" s="913"/>
      <c r="BJ22" s="913"/>
      <c r="BK22" s="913"/>
      <c r="BL22" s="913"/>
      <c r="BM22" s="913"/>
      <c r="BN22" s="913"/>
      <c r="BO22" s="913"/>
      <c r="BP22" s="913"/>
      <c r="BQ22" s="913"/>
      <c r="BR22" s="913"/>
      <c r="BS22" s="913"/>
      <c r="BT22" s="913"/>
      <c r="BU22" s="913"/>
      <c r="BV22" s="913"/>
      <c r="BW22" s="913"/>
      <c r="BX22" s="913"/>
      <c r="BY22" s="913"/>
      <c r="BZ22" s="913"/>
      <c r="CA22" s="913"/>
      <c r="CB22" s="913"/>
      <c r="CC22" s="913"/>
      <c r="CD22" s="913"/>
      <c r="CE22" s="913"/>
      <c r="CF22" s="913"/>
      <c r="CG22" s="913"/>
      <c r="CH22" s="913"/>
      <c r="CI22" s="913"/>
      <c r="CJ22" s="913"/>
      <c r="CK22" s="913"/>
      <c r="CL22" s="913"/>
      <c r="CM22" s="913"/>
      <c r="CN22" s="903" t="s">
        <v>264</v>
      </c>
      <c r="CO22" s="904"/>
      <c r="CP22" s="904"/>
      <c r="CQ22" s="904"/>
      <c r="CR22" s="904"/>
      <c r="CS22" s="904"/>
      <c r="CT22" s="904"/>
      <c r="CU22" s="905"/>
      <c r="CV22" s="492" t="s">
        <v>32</v>
      </c>
      <c r="CW22" s="492" t="s">
        <v>32</v>
      </c>
      <c r="CX22" s="608">
        <v>0</v>
      </c>
      <c r="CY22" s="493">
        <v>0</v>
      </c>
      <c r="CZ22" s="493">
        <v>0</v>
      </c>
      <c r="DA22" s="516">
        <v>0</v>
      </c>
    </row>
    <row r="23" spans="1:105" customFormat="1" ht="44.25" customHeight="1">
      <c r="A23" s="914" t="s">
        <v>265</v>
      </c>
      <c r="B23" s="915"/>
      <c r="C23" s="915"/>
      <c r="D23" s="915"/>
      <c r="E23" s="915"/>
      <c r="F23" s="915"/>
      <c r="G23" s="915"/>
      <c r="H23" s="916"/>
      <c r="I23" s="917" t="s">
        <v>698</v>
      </c>
      <c r="J23" s="918"/>
      <c r="K23" s="918"/>
      <c r="L23" s="918"/>
      <c r="M23" s="918"/>
      <c r="N23" s="918"/>
      <c r="O23" s="918"/>
      <c r="P23" s="918"/>
      <c r="Q23" s="918"/>
      <c r="R23" s="918"/>
      <c r="S23" s="918"/>
      <c r="T23" s="918"/>
      <c r="U23" s="918"/>
      <c r="V23" s="918"/>
      <c r="W23" s="918"/>
      <c r="X23" s="918"/>
      <c r="Y23" s="918"/>
      <c r="Z23" s="918"/>
      <c r="AA23" s="918"/>
      <c r="AB23" s="918"/>
      <c r="AC23" s="918"/>
      <c r="AD23" s="918"/>
      <c r="AE23" s="918"/>
      <c r="AF23" s="918"/>
      <c r="AG23" s="918"/>
      <c r="AH23" s="918"/>
      <c r="AI23" s="918"/>
      <c r="AJ23" s="918"/>
      <c r="AK23" s="918"/>
      <c r="AL23" s="918"/>
      <c r="AM23" s="918"/>
      <c r="AN23" s="918"/>
      <c r="AO23" s="918"/>
      <c r="AP23" s="918"/>
      <c r="AQ23" s="918"/>
      <c r="AR23" s="918"/>
      <c r="AS23" s="918"/>
      <c r="AT23" s="918"/>
      <c r="AU23" s="918"/>
      <c r="AV23" s="918"/>
      <c r="AW23" s="918"/>
      <c r="AX23" s="918"/>
      <c r="AY23" s="918"/>
      <c r="AZ23" s="918"/>
      <c r="BA23" s="918"/>
      <c r="BB23" s="918"/>
      <c r="BC23" s="918"/>
      <c r="BD23" s="918"/>
      <c r="BE23" s="918"/>
      <c r="BF23" s="918"/>
      <c r="BG23" s="918"/>
      <c r="BH23" s="918"/>
      <c r="BI23" s="918"/>
      <c r="BJ23" s="918"/>
      <c r="BK23" s="918"/>
      <c r="BL23" s="918"/>
      <c r="BM23" s="918"/>
      <c r="BN23" s="918"/>
      <c r="BO23" s="918"/>
      <c r="BP23" s="918"/>
      <c r="BQ23" s="918"/>
      <c r="BR23" s="918"/>
      <c r="BS23" s="918"/>
      <c r="BT23" s="918"/>
      <c r="BU23" s="918"/>
      <c r="BV23" s="918"/>
      <c r="BW23" s="918"/>
      <c r="BX23" s="918"/>
      <c r="BY23" s="918"/>
      <c r="BZ23" s="918"/>
      <c r="CA23" s="918"/>
      <c r="CB23" s="918"/>
      <c r="CC23" s="918"/>
      <c r="CD23" s="918"/>
      <c r="CE23" s="918"/>
      <c r="CF23" s="918"/>
      <c r="CG23" s="918"/>
      <c r="CH23" s="918"/>
      <c r="CI23" s="918"/>
      <c r="CJ23" s="918"/>
      <c r="CK23" s="918"/>
      <c r="CL23" s="918"/>
      <c r="CM23" s="918"/>
      <c r="CN23" s="919" t="s">
        <v>267</v>
      </c>
      <c r="CO23" s="920"/>
      <c r="CP23" s="920"/>
      <c r="CQ23" s="920"/>
      <c r="CR23" s="920"/>
      <c r="CS23" s="920"/>
      <c r="CT23" s="920"/>
      <c r="CU23" s="921"/>
      <c r="CV23" s="490" t="s">
        <v>32</v>
      </c>
      <c r="CW23" s="490" t="s">
        <v>32</v>
      </c>
      <c r="CX23" s="607">
        <v>0</v>
      </c>
      <c r="CY23" s="491">
        <v>0</v>
      </c>
      <c r="CZ23" s="491">
        <v>0</v>
      </c>
      <c r="DA23" s="515">
        <v>0</v>
      </c>
    </row>
    <row r="24" spans="1:105" s="181" customFormat="1" ht="21" customHeight="1">
      <c r="A24" s="898"/>
      <c r="B24" s="899"/>
      <c r="C24" s="899"/>
      <c r="D24" s="899"/>
      <c r="E24" s="899"/>
      <c r="F24" s="899"/>
      <c r="G24" s="899"/>
      <c r="H24" s="900"/>
      <c r="I24" s="912" t="s">
        <v>134</v>
      </c>
      <c r="J24" s="913"/>
      <c r="K24" s="913"/>
      <c r="L24" s="913"/>
      <c r="M24" s="913"/>
      <c r="N24" s="913"/>
      <c r="O24" s="913"/>
      <c r="P24" s="913"/>
      <c r="Q24" s="913"/>
      <c r="R24" s="913"/>
      <c r="S24" s="913"/>
      <c r="T24" s="913"/>
      <c r="U24" s="913"/>
      <c r="V24" s="913"/>
      <c r="W24" s="913"/>
      <c r="X24" s="913"/>
      <c r="Y24" s="913"/>
      <c r="Z24" s="913"/>
      <c r="AA24" s="913"/>
      <c r="AB24" s="913"/>
      <c r="AC24" s="913"/>
      <c r="AD24" s="913"/>
      <c r="AE24" s="913"/>
      <c r="AF24" s="913"/>
      <c r="AG24" s="913"/>
      <c r="AH24" s="913"/>
      <c r="AI24" s="913"/>
      <c r="AJ24" s="913"/>
      <c r="AK24" s="913"/>
      <c r="AL24" s="913"/>
      <c r="AM24" s="913"/>
      <c r="AN24" s="913"/>
      <c r="AO24" s="913"/>
      <c r="AP24" s="913"/>
      <c r="AQ24" s="913"/>
      <c r="AR24" s="913"/>
      <c r="AS24" s="913"/>
      <c r="AT24" s="913"/>
      <c r="AU24" s="913"/>
      <c r="AV24" s="913"/>
      <c r="AW24" s="913"/>
      <c r="AX24" s="913"/>
      <c r="AY24" s="913"/>
      <c r="AZ24" s="913"/>
      <c r="BA24" s="913"/>
      <c r="BB24" s="913"/>
      <c r="BC24" s="913"/>
      <c r="BD24" s="913"/>
      <c r="BE24" s="913"/>
      <c r="BF24" s="913"/>
      <c r="BG24" s="913"/>
      <c r="BH24" s="913"/>
      <c r="BI24" s="913"/>
      <c r="BJ24" s="913"/>
      <c r="BK24" s="913"/>
      <c r="BL24" s="913"/>
      <c r="BM24" s="913"/>
      <c r="BN24" s="913"/>
      <c r="BO24" s="913"/>
      <c r="BP24" s="913"/>
      <c r="BQ24" s="913"/>
      <c r="BR24" s="913"/>
      <c r="BS24" s="913"/>
      <c r="BT24" s="913"/>
      <c r="BU24" s="913"/>
      <c r="BV24" s="913"/>
      <c r="BW24" s="913"/>
      <c r="BX24" s="913"/>
      <c r="BY24" s="913"/>
      <c r="BZ24" s="913"/>
      <c r="CA24" s="913"/>
      <c r="CB24" s="913"/>
      <c r="CC24" s="913"/>
      <c r="CD24" s="913"/>
      <c r="CE24" s="913"/>
      <c r="CF24" s="913"/>
      <c r="CG24" s="913"/>
      <c r="CH24" s="913"/>
      <c r="CI24" s="913"/>
      <c r="CJ24" s="913"/>
      <c r="CK24" s="913"/>
      <c r="CL24" s="913"/>
      <c r="CM24" s="913"/>
      <c r="CN24" s="922" t="s">
        <v>406</v>
      </c>
      <c r="CO24" s="923"/>
      <c r="CP24" s="923"/>
      <c r="CQ24" s="923"/>
      <c r="CR24" s="923"/>
      <c r="CS24" s="923"/>
      <c r="CT24" s="923"/>
      <c r="CU24" s="924"/>
      <c r="CV24" s="492"/>
      <c r="CW24" s="492"/>
      <c r="CX24" s="608">
        <v>0</v>
      </c>
      <c r="CY24" s="493">
        <v>0</v>
      </c>
      <c r="CZ24" s="493">
        <v>0</v>
      </c>
      <c r="DA24" s="516">
        <v>0</v>
      </c>
    </row>
    <row r="25" spans="1:105" s="181" customFormat="1" ht="35.25" customHeight="1">
      <c r="A25" s="914" t="s">
        <v>268</v>
      </c>
      <c r="B25" s="915"/>
      <c r="C25" s="915"/>
      <c r="D25" s="915"/>
      <c r="E25" s="915"/>
      <c r="F25" s="915"/>
      <c r="G25" s="915"/>
      <c r="H25" s="916"/>
      <c r="I25" s="925" t="s">
        <v>699</v>
      </c>
      <c r="J25" s="926"/>
      <c r="K25" s="926"/>
      <c r="L25" s="926"/>
      <c r="M25" s="926"/>
      <c r="N25" s="926"/>
      <c r="O25" s="926"/>
      <c r="P25" s="926"/>
      <c r="Q25" s="926"/>
      <c r="R25" s="926"/>
      <c r="S25" s="926"/>
      <c r="T25" s="926"/>
      <c r="U25" s="926"/>
      <c r="V25" s="926"/>
      <c r="W25" s="926"/>
      <c r="X25" s="926"/>
      <c r="Y25" s="926"/>
      <c r="Z25" s="926"/>
      <c r="AA25" s="926"/>
      <c r="AB25" s="926"/>
      <c r="AC25" s="926"/>
      <c r="AD25" s="926"/>
      <c r="AE25" s="926"/>
      <c r="AF25" s="926"/>
      <c r="AG25" s="926"/>
      <c r="AH25" s="926"/>
      <c r="AI25" s="926"/>
      <c r="AJ25" s="926"/>
      <c r="AK25" s="926"/>
      <c r="AL25" s="926"/>
      <c r="AM25" s="926"/>
      <c r="AN25" s="926"/>
      <c r="AO25" s="926"/>
      <c r="AP25" s="926"/>
      <c r="AQ25" s="926"/>
      <c r="AR25" s="926"/>
      <c r="AS25" s="926"/>
      <c r="AT25" s="926"/>
      <c r="AU25" s="926"/>
      <c r="AV25" s="926"/>
      <c r="AW25" s="926"/>
      <c r="AX25" s="926"/>
      <c r="AY25" s="926"/>
      <c r="AZ25" s="926"/>
      <c r="BA25" s="926"/>
      <c r="BB25" s="926"/>
      <c r="BC25" s="926"/>
      <c r="BD25" s="926"/>
      <c r="BE25" s="926"/>
      <c r="BF25" s="926"/>
      <c r="BG25" s="926"/>
      <c r="BH25" s="926"/>
      <c r="BI25" s="926"/>
      <c r="BJ25" s="926"/>
      <c r="BK25" s="926"/>
      <c r="BL25" s="926"/>
      <c r="BM25" s="926"/>
      <c r="BN25" s="926"/>
      <c r="BO25" s="926"/>
      <c r="BP25" s="926"/>
      <c r="BQ25" s="926"/>
      <c r="BR25" s="926"/>
      <c r="BS25" s="926"/>
      <c r="BT25" s="926"/>
      <c r="BU25" s="926"/>
      <c r="BV25" s="926"/>
      <c r="BW25" s="926"/>
      <c r="BX25" s="926"/>
      <c r="BY25" s="926"/>
      <c r="BZ25" s="926"/>
      <c r="CA25" s="926"/>
      <c r="CB25" s="926"/>
      <c r="CC25" s="926"/>
      <c r="CD25" s="926"/>
      <c r="CE25" s="926"/>
      <c r="CF25" s="926"/>
      <c r="CG25" s="926"/>
      <c r="CH25" s="926"/>
      <c r="CI25" s="926"/>
      <c r="CJ25" s="926"/>
      <c r="CK25" s="926"/>
      <c r="CL25" s="926"/>
      <c r="CM25" s="926"/>
      <c r="CN25" s="958" t="s">
        <v>408</v>
      </c>
      <c r="CO25" s="959"/>
      <c r="CP25" s="959"/>
      <c r="CQ25" s="959"/>
      <c r="CR25" s="959"/>
      <c r="CS25" s="959"/>
      <c r="CT25" s="959"/>
      <c r="CU25" s="960"/>
      <c r="CV25" s="490" t="s">
        <v>32</v>
      </c>
      <c r="CW25" s="490" t="s">
        <v>32</v>
      </c>
      <c r="CX25" s="607">
        <f>SUM(CX26:CX27)</f>
        <v>0</v>
      </c>
      <c r="CY25" s="491">
        <f>SUM(CY26:CY27)</f>
        <v>0</v>
      </c>
      <c r="CZ25" s="491">
        <f>SUM(CZ26:CZ27)</f>
        <v>0</v>
      </c>
      <c r="DA25" s="515">
        <f>SUM(DA26:DA27)</f>
        <v>0</v>
      </c>
    </row>
    <row r="26" spans="1:105" s="181" customFormat="1" ht="37.5" customHeight="1">
      <c r="A26" s="898" t="s">
        <v>349</v>
      </c>
      <c r="B26" s="899"/>
      <c r="C26" s="899"/>
      <c r="D26" s="899"/>
      <c r="E26" s="899"/>
      <c r="F26" s="899"/>
      <c r="G26" s="899"/>
      <c r="H26" s="900"/>
      <c r="I26" s="912" t="s">
        <v>694</v>
      </c>
      <c r="J26" s="913"/>
      <c r="K26" s="913"/>
      <c r="L26" s="913"/>
      <c r="M26" s="913"/>
      <c r="N26" s="913"/>
      <c r="O26" s="913"/>
      <c r="P26" s="913"/>
      <c r="Q26" s="913"/>
      <c r="R26" s="913"/>
      <c r="S26" s="913"/>
      <c r="T26" s="913"/>
      <c r="U26" s="913"/>
      <c r="V26" s="913"/>
      <c r="W26" s="913"/>
      <c r="X26" s="913"/>
      <c r="Y26" s="913"/>
      <c r="Z26" s="913"/>
      <c r="AA26" s="913"/>
      <c r="AB26" s="913"/>
      <c r="AC26" s="913"/>
      <c r="AD26" s="913"/>
      <c r="AE26" s="913"/>
      <c r="AF26" s="913"/>
      <c r="AG26" s="913"/>
      <c r="AH26" s="913"/>
      <c r="AI26" s="913"/>
      <c r="AJ26" s="913"/>
      <c r="AK26" s="913"/>
      <c r="AL26" s="913"/>
      <c r="AM26" s="913"/>
      <c r="AN26" s="913"/>
      <c r="AO26" s="913"/>
      <c r="AP26" s="913"/>
      <c r="AQ26" s="913"/>
      <c r="AR26" s="913"/>
      <c r="AS26" s="913"/>
      <c r="AT26" s="913"/>
      <c r="AU26" s="913"/>
      <c r="AV26" s="913"/>
      <c r="AW26" s="913"/>
      <c r="AX26" s="913"/>
      <c r="AY26" s="913"/>
      <c r="AZ26" s="913"/>
      <c r="BA26" s="913"/>
      <c r="BB26" s="913"/>
      <c r="BC26" s="913"/>
      <c r="BD26" s="913"/>
      <c r="BE26" s="913"/>
      <c r="BF26" s="913"/>
      <c r="BG26" s="913"/>
      <c r="BH26" s="913"/>
      <c r="BI26" s="913"/>
      <c r="BJ26" s="913"/>
      <c r="BK26" s="913"/>
      <c r="BL26" s="913"/>
      <c r="BM26" s="913"/>
      <c r="BN26" s="913"/>
      <c r="BO26" s="913"/>
      <c r="BP26" s="913"/>
      <c r="BQ26" s="913"/>
      <c r="BR26" s="913"/>
      <c r="BS26" s="913"/>
      <c r="BT26" s="913"/>
      <c r="BU26" s="913"/>
      <c r="BV26" s="913"/>
      <c r="BW26" s="913"/>
      <c r="BX26" s="913"/>
      <c r="BY26" s="913"/>
      <c r="BZ26" s="913"/>
      <c r="CA26" s="913"/>
      <c r="CB26" s="913"/>
      <c r="CC26" s="913"/>
      <c r="CD26" s="913"/>
      <c r="CE26" s="913"/>
      <c r="CF26" s="913"/>
      <c r="CG26" s="913"/>
      <c r="CH26" s="913"/>
      <c r="CI26" s="913"/>
      <c r="CJ26" s="913"/>
      <c r="CK26" s="913"/>
      <c r="CL26" s="913"/>
      <c r="CM26" s="913"/>
      <c r="CN26" s="903" t="s">
        <v>410</v>
      </c>
      <c r="CO26" s="904"/>
      <c r="CP26" s="904"/>
      <c r="CQ26" s="904"/>
      <c r="CR26" s="904"/>
      <c r="CS26" s="904"/>
      <c r="CT26" s="904"/>
      <c r="CU26" s="905"/>
      <c r="CV26" s="492" t="s">
        <v>32</v>
      </c>
      <c r="CW26" s="492" t="s">
        <v>32</v>
      </c>
      <c r="CX26" s="608">
        <v>0</v>
      </c>
      <c r="CY26" s="493">
        <v>0</v>
      </c>
      <c r="CZ26" s="493">
        <v>0</v>
      </c>
      <c r="DA26" s="516">
        <v>0</v>
      </c>
    </row>
    <row r="27" spans="1:105" s="181" customFormat="1" ht="37.5" customHeight="1">
      <c r="A27" s="898" t="s">
        <v>350</v>
      </c>
      <c r="B27" s="899"/>
      <c r="C27" s="899"/>
      <c r="D27" s="899"/>
      <c r="E27" s="899"/>
      <c r="F27" s="899"/>
      <c r="G27" s="899"/>
      <c r="H27" s="900"/>
      <c r="I27" s="912" t="s">
        <v>336</v>
      </c>
      <c r="J27" s="913"/>
      <c r="K27" s="913"/>
      <c r="L27" s="913"/>
      <c r="M27" s="913"/>
      <c r="N27" s="913"/>
      <c r="O27" s="913"/>
      <c r="P27" s="913"/>
      <c r="Q27" s="913"/>
      <c r="R27" s="913"/>
      <c r="S27" s="913"/>
      <c r="T27" s="913"/>
      <c r="U27" s="913"/>
      <c r="V27" s="913"/>
      <c r="W27" s="913"/>
      <c r="X27" s="913"/>
      <c r="Y27" s="913"/>
      <c r="Z27" s="913"/>
      <c r="AA27" s="913"/>
      <c r="AB27" s="913"/>
      <c r="AC27" s="913"/>
      <c r="AD27" s="913"/>
      <c r="AE27" s="913"/>
      <c r="AF27" s="913"/>
      <c r="AG27" s="913"/>
      <c r="AH27" s="913"/>
      <c r="AI27" s="913"/>
      <c r="AJ27" s="913"/>
      <c r="AK27" s="913"/>
      <c r="AL27" s="913"/>
      <c r="AM27" s="913"/>
      <c r="AN27" s="913"/>
      <c r="AO27" s="913"/>
      <c r="AP27" s="913"/>
      <c r="AQ27" s="913"/>
      <c r="AR27" s="913"/>
      <c r="AS27" s="913"/>
      <c r="AT27" s="913"/>
      <c r="AU27" s="913"/>
      <c r="AV27" s="913"/>
      <c r="AW27" s="913"/>
      <c r="AX27" s="913"/>
      <c r="AY27" s="913"/>
      <c r="AZ27" s="913"/>
      <c r="BA27" s="913"/>
      <c r="BB27" s="913"/>
      <c r="BC27" s="913"/>
      <c r="BD27" s="913"/>
      <c r="BE27" s="913"/>
      <c r="BF27" s="913"/>
      <c r="BG27" s="913"/>
      <c r="BH27" s="913"/>
      <c r="BI27" s="913"/>
      <c r="BJ27" s="913"/>
      <c r="BK27" s="913"/>
      <c r="BL27" s="913"/>
      <c r="BM27" s="913"/>
      <c r="BN27" s="913"/>
      <c r="BO27" s="913"/>
      <c r="BP27" s="913"/>
      <c r="BQ27" s="913"/>
      <c r="BR27" s="913"/>
      <c r="BS27" s="913"/>
      <c r="BT27" s="913"/>
      <c r="BU27" s="913"/>
      <c r="BV27" s="913"/>
      <c r="BW27" s="913"/>
      <c r="BX27" s="913"/>
      <c r="BY27" s="913"/>
      <c r="BZ27" s="913"/>
      <c r="CA27" s="913"/>
      <c r="CB27" s="913"/>
      <c r="CC27" s="913"/>
      <c r="CD27" s="913"/>
      <c r="CE27" s="913"/>
      <c r="CF27" s="913"/>
      <c r="CG27" s="913"/>
      <c r="CH27" s="913"/>
      <c r="CI27" s="913"/>
      <c r="CJ27" s="913"/>
      <c r="CK27" s="913"/>
      <c r="CL27" s="913"/>
      <c r="CM27" s="913"/>
      <c r="CN27" s="903" t="s">
        <v>412</v>
      </c>
      <c r="CO27" s="904"/>
      <c r="CP27" s="904"/>
      <c r="CQ27" s="904"/>
      <c r="CR27" s="904"/>
      <c r="CS27" s="904"/>
      <c r="CT27" s="904"/>
      <c r="CU27" s="905"/>
      <c r="CV27" s="492" t="s">
        <v>32</v>
      </c>
      <c r="CW27" s="492" t="s">
        <v>32</v>
      </c>
      <c r="CX27" s="608">
        <v>0</v>
      </c>
      <c r="CY27" s="493">
        <v>0</v>
      </c>
      <c r="CZ27" s="493">
        <v>0</v>
      </c>
      <c r="DA27" s="516">
        <v>0</v>
      </c>
    </row>
    <row r="28" spans="1:105" customFormat="1" ht="33" customHeight="1">
      <c r="A28" s="914" t="s">
        <v>413</v>
      </c>
      <c r="B28" s="915"/>
      <c r="C28" s="915"/>
      <c r="D28" s="915"/>
      <c r="E28" s="915"/>
      <c r="F28" s="915"/>
      <c r="G28" s="915"/>
      <c r="H28" s="916"/>
      <c r="I28" s="917" t="s">
        <v>352</v>
      </c>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8"/>
      <c r="AY28" s="918"/>
      <c r="AZ28" s="918"/>
      <c r="BA28" s="918"/>
      <c r="BB28" s="918"/>
      <c r="BC28" s="918"/>
      <c r="BD28" s="918"/>
      <c r="BE28" s="918"/>
      <c r="BF28" s="918"/>
      <c r="BG28" s="918"/>
      <c r="BH28" s="918"/>
      <c r="BI28" s="918"/>
      <c r="BJ28" s="918"/>
      <c r="BK28" s="918"/>
      <c r="BL28" s="918"/>
      <c r="BM28" s="918"/>
      <c r="BN28" s="918"/>
      <c r="BO28" s="918"/>
      <c r="BP28" s="918"/>
      <c r="BQ28" s="918"/>
      <c r="BR28" s="918"/>
      <c r="BS28" s="918"/>
      <c r="BT28" s="918"/>
      <c r="BU28" s="918"/>
      <c r="BV28" s="918"/>
      <c r="BW28" s="918"/>
      <c r="BX28" s="918"/>
      <c r="BY28" s="918"/>
      <c r="BZ28" s="918"/>
      <c r="CA28" s="918"/>
      <c r="CB28" s="918"/>
      <c r="CC28" s="918"/>
      <c r="CD28" s="918"/>
      <c r="CE28" s="918"/>
      <c r="CF28" s="918"/>
      <c r="CG28" s="918"/>
      <c r="CH28" s="918"/>
      <c r="CI28" s="918"/>
      <c r="CJ28" s="918"/>
      <c r="CK28" s="918"/>
      <c r="CL28" s="918"/>
      <c r="CM28" s="918"/>
      <c r="CN28" s="919" t="s">
        <v>270</v>
      </c>
      <c r="CO28" s="920"/>
      <c r="CP28" s="920"/>
      <c r="CQ28" s="920"/>
      <c r="CR28" s="920"/>
      <c r="CS28" s="920"/>
      <c r="CT28" s="920"/>
      <c r="CU28" s="921"/>
      <c r="CV28" s="490" t="s">
        <v>32</v>
      </c>
      <c r="CW28" s="490" t="s">
        <v>32</v>
      </c>
      <c r="CX28" s="607">
        <f>SUM(CX29:CX31)</f>
        <v>5304024</v>
      </c>
      <c r="CY28" s="491">
        <f>SUM(CY29:CY31)</f>
        <v>5059633.43</v>
      </c>
      <c r="CZ28" s="491">
        <f>SUM(CZ29:CZ31)</f>
        <v>5065160.8499999996</v>
      </c>
      <c r="DA28" s="515">
        <f>SUM(DA29:DA31)</f>
        <v>0</v>
      </c>
    </row>
    <row r="29" spans="1:105" customFormat="1" ht="45" customHeight="1">
      <c r="A29" s="898" t="s">
        <v>414</v>
      </c>
      <c r="B29" s="899"/>
      <c r="C29" s="899"/>
      <c r="D29" s="899"/>
      <c r="E29" s="899"/>
      <c r="F29" s="899"/>
      <c r="G29" s="899"/>
      <c r="H29" s="900"/>
      <c r="I29" s="912" t="s">
        <v>692</v>
      </c>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3"/>
      <c r="AY29" s="913"/>
      <c r="AZ29" s="913"/>
      <c r="BA29" s="913"/>
      <c r="BB29" s="913"/>
      <c r="BC29" s="913"/>
      <c r="BD29" s="913"/>
      <c r="BE29" s="913"/>
      <c r="BF29" s="913"/>
      <c r="BG29" s="913"/>
      <c r="BH29" s="913"/>
      <c r="BI29" s="913"/>
      <c r="BJ29" s="913"/>
      <c r="BK29" s="913"/>
      <c r="BL29" s="913"/>
      <c r="BM29" s="913"/>
      <c r="BN29" s="913"/>
      <c r="BO29" s="913"/>
      <c r="BP29" s="913"/>
      <c r="BQ29" s="913"/>
      <c r="BR29" s="913"/>
      <c r="BS29" s="913"/>
      <c r="BT29" s="913"/>
      <c r="BU29" s="913"/>
      <c r="BV29" s="913"/>
      <c r="BW29" s="913"/>
      <c r="BX29" s="913"/>
      <c r="BY29" s="913"/>
      <c r="BZ29" s="913"/>
      <c r="CA29" s="913"/>
      <c r="CB29" s="913"/>
      <c r="CC29" s="913"/>
      <c r="CD29" s="913"/>
      <c r="CE29" s="913"/>
      <c r="CF29" s="913"/>
      <c r="CG29" s="913"/>
      <c r="CH29" s="913"/>
      <c r="CI29" s="913"/>
      <c r="CJ29" s="913"/>
      <c r="CK29" s="913"/>
      <c r="CL29" s="913"/>
      <c r="CM29" s="913"/>
      <c r="CN29" s="903" t="s">
        <v>272</v>
      </c>
      <c r="CO29" s="904"/>
      <c r="CP29" s="904"/>
      <c r="CQ29" s="904"/>
      <c r="CR29" s="904"/>
      <c r="CS29" s="904"/>
      <c r="CT29" s="904"/>
      <c r="CU29" s="905"/>
      <c r="CV29" s="492" t="s">
        <v>32</v>
      </c>
      <c r="CW29" s="492" t="s">
        <v>32</v>
      </c>
      <c r="CX29" s="608">
        <v>0</v>
      </c>
      <c r="CY29" s="493">
        <v>0</v>
      </c>
      <c r="CZ29" s="493">
        <v>0</v>
      </c>
      <c r="DA29" s="516">
        <v>0</v>
      </c>
    </row>
    <row r="30" spans="1:105" s="181" customFormat="1" ht="15" customHeight="1">
      <c r="A30" s="898"/>
      <c r="B30" s="899"/>
      <c r="C30" s="899"/>
      <c r="D30" s="899"/>
      <c r="E30" s="899"/>
      <c r="F30" s="899"/>
      <c r="G30" s="899"/>
      <c r="H30" s="900"/>
      <c r="I30" s="912" t="s">
        <v>134</v>
      </c>
      <c r="J30" s="913"/>
      <c r="K30" s="913"/>
      <c r="L30" s="913"/>
      <c r="M30" s="913"/>
      <c r="N30" s="913"/>
      <c r="O30" s="913"/>
      <c r="P30" s="913"/>
      <c r="Q30" s="913"/>
      <c r="R30" s="913"/>
      <c r="S30" s="913"/>
      <c r="T30" s="913"/>
      <c r="U30" s="913"/>
      <c r="V30" s="913"/>
      <c r="W30" s="913"/>
      <c r="X30" s="913"/>
      <c r="Y30" s="913"/>
      <c r="Z30" s="913"/>
      <c r="AA30" s="913"/>
      <c r="AB30" s="913"/>
      <c r="AC30" s="913"/>
      <c r="AD30" s="913"/>
      <c r="AE30" s="913"/>
      <c r="AF30" s="913"/>
      <c r="AG30" s="913"/>
      <c r="AH30" s="913"/>
      <c r="AI30" s="913"/>
      <c r="AJ30" s="913"/>
      <c r="AK30" s="913"/>
      <c r="AL30" s="913"/>
      <c r="AM30" s="913"/>
      <c r="AN30" s="913"/>
      <c r="AO30" s="913"/>
      <c r="AP30" s="913"/>
      <c r="AQ30" s="913"/>
      <c r="AR30" s="913"/>
      <c r="AS30" s="913"/>
      <c r="AT30" s="913"/>
      <c r="AU30" s="913"/>
      <c r="AV30" s="913"/>
      <c r="AW30" s="913"/>
      <c r="AX30" s="913"/>
      <c r="AY30" s="913"/>
      <c r="AZ30" s="913"/>
      <c r="BA30" s="913"/>
      <c r="BB30" s="913"/>
      <c r="BC30" s="913"/>
      <c r="BD30" s="913"/>
      <c r="BE30" s="913"/>
      <c r="BF30" s="913"/>
      <c r="BG30" s="913"/>
      <c r="BH30" s="913"/>
      <c r="BI30" s="913"/>
      <c r="BJ30" s="913"/>
      <c r="BK30" s="913"/>
      <c r="BL30" s="913"/>
      <c r="BM30" s="913"/>
      <c r="BN30" s="913"/>
      <c r="BO30" s="913"/>
      <c r="BP30" s="913"/>
      <c r="BQ30" s="913"/>
      <c r="BR30" s="913"/>
      <c r="BS30" s="913"/>
      <c r="BT30" s="913"/>
      <c r="BU30" s="913"/>
      <c r="BV30" s="913"/>
      <c r="BW30" s="913"/>
      <c r="BX30" s="913"/>
      <c r="BY30" s="913"/>
      <c r="BZ30" s="913"/>
      <c r="CA30" s="913"/>
      <c r="CB30" s="913"/>
      <c r="CC30" s="913"/>
      <c r="CD30" s="913"/>
      <c r="CE30" s="913"/>
      <c r="CF30" s="913"/>
      <c r="CG30" s="913"/>
      <c r="CH30" s="913"/>
      <c r="CI30" s="913"/>
      <c r="CJ30" s="913"/>
      <c r="CK30" s="913"/>
      <c r="CL30" s="913"/>
      <c r="CM30" s="913"/>
      <c r="CN30" s="922" t="s">
        <v>416</v>
      </c>
      <c r="CO30" s="923"/>
      <c r="CP30" s="923"/>
      <c r="CQ30" s="923"/>
      <c r="CR30" s="923"/>
      <c r="CS30" s="923"/>
      <c r="CT30" s="923"/>
      <c r="CU30" s="924"/>
      <c r="CV30" s="492"/>
      <c r="CW30" s="492"/>
      <c r="CX30" s="608">
        <v>0</v>
      </c>
      <c r="CY30" s="493">
        <v>0</v>
      </c>
      <c r="CZ30" s="493">
        <v>0</v>
      </c>
      <c r="DA30" s="516">
        <v>0</v>
      </c>
    </row>
    <row r="31" spans="1:105" customFormat="1" ht="40.5" customHeight="1">
      <c r="A31" s="898" t="s">
        <v>417</v>
      </c>
      <c r="B31" s="899"/>
      <c r="C31" s="899"/>
      <c r="D31" s="899"/>
      <c r="E31" s="899"/>
      <c r="F31" s="899"/>
      <c r="G31" s="899"/>
      <c r="H31" s="900"/>
      <c r="I31" s="912" t="s">
        <v>336</v>
      </c>
      <c r="J31" s="913"/>
      <c r="K31" s="913"/>
      <c r="L31" s="913"/>
      <c r="M31" s="913"/>
      <c r="N31" s="913"/>
      <c r="O31" s="913"/>
      <c r="P31" s="913"/>
      <c r="Q31" s="913"/>
      <c r="R31" s="913"/>
      <c r="S31" s="913"/>
      <c r="T31" s="913"/>
      <c r="U31" s="913"/>
      <c r="V31" s="913"/>
      <c r="W31" s="913"/>
      <c r="X31" s="913"/>
      <c r="Y31" s="913"/>
      <c r="Z31" s="913"/>
      <c r="AA31" s="913"/>
      <c r="AB31" s="913"/>
      <c r="AC31" s="913"/>
      <c r="AD31" s="913"/>
      <c r="AE31" s="913"/>
      <c r="AF31" s="913"/>
      <c r="AG31" s="913"/>
      <c r="AH31" s="913"/>
      <c r="AI31" s="913"/>
      <c r="AJ31" s="913"/>
      <c r="AK31" s="913"/>
      <c r="AL31" s="913"/>
      <c r="AM31" s="913"/>
      <c r="AN31" s="913"/>
      <c r="AO31" s="913"/>
      <c r="AP31" s="913"/>
      <c r="AQ31" s="913"/>
      <c r="AR31" s="913"/>
      <c r="AS31" s="913"/>
      <c r="AT31" s="913"/>
      <c r="AU31" s="913"/>
      <c r="AV31" s="913"/>
      <c r="AW31" s="913"/>
      <c r="AX31" s="913"/>
      <c r="AY31" s="913"/>
      <c r="AZ31" s="913"/>
      <c r="BA31" s="913"/>
      <c r="BB31" s="913"/>
      <c r="BC31" s="913"/>
      <c r="BD31" s="913"/>
      <c r="BE31" s="913"/>
      <c r="BF31" s="913"/>
      <c r="BG31" s="913"/>
      <c r="BH31" s="913"/>
      <c r="BI31" s="913"/>
      <c r="BJ31" s="913"/>
      <c r="BK31" s="913"/>
      <c r="BL31" s="913"/>
      <c r="BM31" s="913"/>
      <c r="BN31" s="913"/>
      <c r="BO31" s="913"/>
      <c r="BP31" s="913"/>
      <c r="BQ31" s="913"/>
      <c r="BR31" s="913"/>
      <c r="BS31" s="913"/>
      <c r="BT31" s="913"/>
      <c r="BU31" s="913"/>
      <c r="BV31" s="913"/>
      <c r="BW31" s="913"/>
      <c r="BX31" s="913"/>
      <c r="BY31" s="913"/>
      <c r="BZ31" s="913"/>
      <c r="CA31" s="913"/>
      <c r="CB31" s="913"/>
      <c r="CC31" s="913"/>
      <c r="CD31" s="913"/>
      <c r="CE31" s="913"/>
      <c r="CF31" s="913"/>
      <c r="CG31" s="913"/>
      <c r="CH31" s="913"/>
      <c r="CI31" s="913"/>
      <c r="CJ31" s="913"/>
      <c r="CK31" s="913"/>
      <c r="CL31" s="913"/>
      <c r="CM31" s="913"/>
      <c r="CN31" s="903" t="s">
        <v>274</v>
      </c>
      <c r="CO31" s="904"/>
      <c r="CP31" s="904"/>
      <c r="CQ31" s="904"/>
      <c r="CR31" s="904"/>
      <c r="CS31" s="904"/>
      <c r="CT31" s="904"/>
      <c r="CU31" s="905"/>
      <c r="CV31" s="492" t="s">
        <v>32</v>
      </c>
      <c r="CW31" s="492" t="s">
        <v>32</v>
      </c>
      <c r="CX31" s="608">
        <f>4764024+540000</f>
        <v>5304024</v>
      </c>
      <c r="CY31" s="493">
        <v>5059633.43</v>
      </c>
      <c r="CZ31" s="493">
        <v>5065160.8499999996</v>
      </c>
      <c r="DA31" s="516">
        <v>0</v>
      </c>
    </row>
    <row r="32" spans="1:105" customFormat="1" ht="80.25" customHeight="1">
      <c r="A32" s="906">
        <v>2</v>
      </c>
      <c r="B32" s="906"/>
      <c r="C32" s="906"/>
      <c r="D32" s="906"/>
      <c r="E32" s="906"/>
      <c r="F32" s="906"/>
      <c r="G32" s="906"/>
      <c r="H32" s="906"/>
      <c r="I32" s="907" t="s">
        <v>275</v>
      </c>
      <c r="J32" s="908"/>
      <c r="K32" s="908"/>
      <c r="L32" s="908"/>
      <c r="M32" s="908"/>
      <c r="N32" s="908"/>
      <c r="O32" s="908"/>
      <c r="P32" s="908"/>
      <c r="Q32" s="908"/>
      <c r="R32" s="908"/>
      <c r="S32" s="908"/>
      <c r="T32" s="908"/>
      <c r="U32" s="908"/>
      <c r="V32" s="908"/>
      <c r="W32" s="908"/>
      <c r="X32" s="908"/>
      <c r="Y32" s="908"/>
      <c r="Z32" s="908"/>
      <c r="AA32" s="908"/>
      <c r="AB32" s="908"/>
      <c r="AC32" s="908"/>
      <c r="AD32" s="908"/>
      <c r="AE32" s="908"/>
      <c r="AF32" s="908"/>
      <c r="AG32" s="908"/>
      <c r="AH32" s="908"/>
      <c r="AI32" s="908"/>
      <c r="AJ32" s="908"/>
      <c r="AK32" s="908"/>
      <c r="AL32" s="908"/>
      <c r="AM32" s="908"/>
      <c r="AN32" s="908"/>
      <c r="AO32" s="908"/>
      <c r="AP32" s="908"/>
      <c r="AQ32" s="908"/>
      <c r="AR32" s="908"/>
      <c r="AS32" s="908"/>
      <c r="AT32" s="908"/>
      <c r="AU32" s="908"/>
      <c r="AV32" s="908"/>
      <c r="AW32" s="908"/>
      <c r="AX32" s="908"/>
      <c r="AY32" s="908"/>
      <c r="AZ32" s="908"/>
      <c r="BA32" s="908"/>
      <c r="BB32" s="908"/>
      <c r="BC32" s="908"/>
      <c r="BD32" s="908"/>
      <c r="BE32" s="908"/>
      <c r="BF32" s="908"/>
      <c r="BG32" s="908"/>
      <c r="BH32" s="908"/>
      <c r="BI32" s="908"/>
      <c r="BJ32" s="908"/>
      <c r="BK32" s="908"/>
      <c r="BL32" s="908"/>
      <c r="BM32" s="908"/>
      <c r="BN32" s="908"/>
      <c r="BO32" s="908"/>
      <c r="BP32" s="908"/>
      <c r="BQ32" s="908"/>
      <c r="BR32" s="908"/>
      <c r="BS32" s="908"/>
      <c r="BT32" s="908"/>
      <c r="BU32" s="908"/>
      <c r="BV32" s="908"/>
      <c r="BW32" s="908"/>
      <c r="BX32" s="908"/>
      <c r="BY32" s="908"/>
      <c r="BZ32" s="908"/>
      <c r="CA32" s="908"/>
      <c r="CB32" s="908"/>
      <c r="CC32" s="908"/>
      <c r="CD32" s="908"/>
      <c r="CE32" s="908"/>
      <c r="CF32" s="908"/>
      <c r="CG32" s="908"/>
      <c r="CH32" s="908"/>
      <c r="CI32" s="908"/>
      <c r="CJ32" s="908"/>
      <c r="CK32" s="908"/>
      <c r="CL32" s="908"/>
      <c r="CM32" s="908"/>
      <c r="CN32" s="909" t="s">
        <v>276</v>
      </c>
      <c r="CO32" s="910"/>
      <c r="CP32" s="910"/>
      <c r="CQ32" s="910"/>
      <c r="CR32" s="910"/>
      <c r="CS32" s="910"/>
      <c r="CT32" s="910"/>
      <c r="CU32" s="911"/>
      <c r="CV32" s="494" t="s">
        <v>277</v>
      </c>
      <c r="CW32" s="494" t="s">
        <v>32</v>
      </c>
      <c r="CX32" s="609">
        <v>0</v>
      </c>
      <c r="CY32" s="495">
        <v>0</v>
      </c>
      <c r="CZ32" s="495">
        <v>0</v>
      </c>
      <c r="DA32" s="517">
        <v>0</v>
      </c>
    </row>
    <row r="33" spans="1:105" customFormat="1" ht="33.75" customHeight="1">
      <c r="A33" s="898" t="s">
        <v>278</v>
      </c>
      <c r="B33" s="899"/>
      <c r="C33" s="899"/>
      <c r="D33" s="899"/>
      <c r="E33" s="899"/>
      <c r="F33" s="899"/>
      <c r="G33" s="899"/>
      <c r="H33" s="900"/>
      <c r="I33" s="901" t="s">
        <v>279</v>
      </c>
      <c r="J33" s="902"/>
      <c r="K33" s="902"/>
      <c r="L33" s="902"/>
      <c r="M33" s="902"/>
      <c r="N33" s="902"/>
      <c r="O33" s="902"/>
      <c r="P33" s="902"/>
      <c r="Q33" s="902"/>
      <c r="R33" s="902"/>
      <c r="S33" s="902"/>
      <c r="T33" s="902"/>
      <c r="U33" s="902"/>
      <c r="V33" s="902"/>
      <c r="W33" s="902"/>
      <c r="X33" s="902"/>
      <c r="Y33" s="902"/>
      <c r="Z33" s="902"/>
      <c r="AA33" s="902"/>
      <c r="AB33" s="902"/>
      <c r="AC33" s="902"/>
      <c r="AD33" s="902"/>
      <c r="AE33" s="902"/>
      <c r="AF33" s="902"/>
      <c r="AG33" s="902"/>
      <c r="AH33" s="902"/>
      <c r="AI33" s="902"/>
      <c r="AJ33" s="902"/>
      <c r="AK33" s="902"/>
      <c r="AL33" s="902"/>
      <c r="AM33" s="902"/>
      <c r="AN33" s="902"/>
      <c r="AO33" s="902"/>
      <c r="AP33" s="902"/>
      <c r="AQ33" s="902"/>
      <c r="AR33" s="902"/>
      <c r="AS33" s="902"/>
      <c r="AT33" s="902"/>
      <c r="AU33" s="902"/>
      <c r="AV33" s="902"/>
      <c r="AW33" s="902"/>
      <c r="AX33" s="902"/>
      <c r="AY33" s="902"/>
      <c r="AZ33" s="902"/>
      <c r="BA33" s="902"/>
      <c r="BB33" s="902"/>
      <c r="BC33" s="902"/>
      <c r="BD33" s="902"/>
      <c r="BE33" s="902"/>
      <c r="BF33" s="902"/>
      <c r="BG33" s="902"/>
      <c r="BH33" s="902"/>
      <c r="BI33" s="902"/>
      <c r="BJ33" s="902"/>
      <c r="BK33" s="902"/>
      <c r="BL33" s="902"/>
      <c r="BM33" s="902"/>
      <c r="BN33" s="902"/>
      <c r="BO33" s="902"/>
      <c r="BP33" s="902"/>
      <c r="BQ33" s="902"/>
      <c r="BR33" s="902"/>
      <c r="BS33" s="902"/>
      <c r="BT33" s="902"/>
      <c r="BU33" s="902"/>
      <c r="BV33" s="902"/>
      <c r="BW33" s="902"/>
      <c r="BX33" s="902"/>
      <c r="BY33" s="902"/>
      <c r="BZ33" s="902"/>
      <c r="CA33" s="902"/>
      <c r="CB33" s="902"/>
      <c r="CC33" s="902"/>
      <c r="CD33" s="902"/>
      <c r="CE33" s="902"/>
      <c r="CF33" s="902"/>
      <c r="CG33" s="902"/>
      <c r="CH33" s="902"/>
      <c r="CI33" s="902"/>
      <c r="CJ33" s="902"/>
      <c r="CK33" s="902"/>
      <c r="CL33" s="902"/>
      <c r="CM33" s="902"/>
      <c r="CN33" s="903" t="s">
        <v>280</v>
      </c>
      <c r="CO33" s="904"/>
      <c r="CP33" s="904"/>
      <c r="CQ33" s="904"/>
      <c r="CR33" s="904"/>
      <c r="CS33" s="904"/>
      <c r="CT33" s="904"/>
      <c r="CU33" s="905"/>
      <c r="CV33" s="492" t="s">
        <v>282</v>
      </c>
      <c r="CW33" s="492" t="s">
        <v>32</v>
      </c>
      <c r="CX33" s="608">
        <v>0</v>
      </c>
      <c r="CY33" s="493">
        <v>0</v>
      </c>
      <c r="CZ33" s="493">
        <v>0</v>
      </c>
      <c r="DA33" s="516">
        <v>0</v>
      </c>
    </row>
    <row r="34" spans="1:105" customFormat="1" ht="33.75" customHeight="1">
      <c r="A34" s="898" t="s">
        <v>281</v>
      </c>
      <c r="B34" s="899"/>
      <c r="C34" s="899"/>
      <c r="D34" s="899"/>
      <c r="E34" s="899"/>
      <c r="F34" s="899"/>
      <c r="G34" s="899"/>
      <c r="H34" s="900"/>
      <c r="I34" s="901" t="s">
        <v>279</v>
      </c>
      <c r="J34" s="902"/>
      <c r="K34" s="902"/>
      <c r="L34" s="902"/>
      <c r="M34" s="902"/>
      <c r="N34" s="902"/>
      <c r="O34" s="902"/>
      <c r="P34" s="902"/>
      <c r="Q34" s="902"/>
      <c r="R34" s="902"/>
      <c r="S34" s="902"/>
      <c r="T34" s="902"/>
      <c r="U34" s="902"/>
      <c r="V34" s="902"/>
      <c r="W34" s="902"/>
      <c r="X34" s="902"/>
      <c r="Y34" s="902"/>
      <c r="Z34" s="902"/>
      <c r="AA34" s="902"/>
      <c r="AB34" s="902"/>
      <c r="AC34" s="902"/>
      <c r="AD34" s="902"/>
      <c r="AE34" s="902"/>
      <c r="AF34" s="902"/>
      <c r="AG34" s="902"/>
      <c r="AH34" s="902"/>
      <c r="AI34" s="902"/>
      <c r="AJ34" s="902"/>
      <c r="AK34" s="902"/>
      <c r="AL34" s="902"/>
      <c r="AM34" s="902"/>
      <c r="AN34" s="902"/>
      <c r="AO34" s="902"/>
      <c r="AP34" s="902"/>
      <c r="AQ34" s="902"/>
      <c r="AR34" s="902"/>
      <c r="AS34" s="902"/>
      <c r="AT34" s="902"/>
      <c r="AU34" s="902"/>
      <c r="AV34" s="902"/>
      <c r="AW34" s="902"/>
      <c r="AX34" s="902"/>
      <c r="AY34" s="902"/>
      <c r="AZ34" s="902"/>
      <c r="BA34" s="902"/>
      <c r="BB34" s="902"/>
      <c r="BC34" s="902"/>
      <c r="BD34" s="902"/>
      <c r="BE34" s="902"/>
      <c r="BF34" s="902"/>
      <c r="BG34" s="902"/>
      <c r="BH34" s="902"/>
      <c r="BI34" s="902"/>
      <c r="BJ34" s="902"/>
      <c r="BK34" s="902"/>
      <c r="BL34" s="902"/>
      <c r="BM34" s="902"/>
      <c r="BN34" s="902"/>
      <c r="BO34" s="902"/>
      <c r="BP34" s="902"/>
      <c r="BQ34" s="902"/>
      <c r="BR34" s="902"/>
      <c r="BS34" s="902"/>
      <c r="BT34" s="902"/>
      <c r="BU34" s="902"/>
      <c r="BV34" s="902"/>
      <c r="BW34" s="902"/>
      <c r="BX34" s="902"/>
      <c r="BY34" s="902"/>
      <c r="BZ34" s="902"/>
      <c r="CA34" s="902"/>
      <c r="CB34" s="902"/>
      <c r="CC34" s="902"/>
      <c r="CD34" s="902"/>
      <c r="CE34" s="902"/>
      <c r="CF34" s="902"/>
      <c r="CG34" s="902"/>
      <c r="CH34" s="902"/>
      <c r="CI34" s="902"/>
      <c r="CJ34" s="902"/>
      <c r="CK34" s="902"/>
      <c r="CL34" s="902"/>
      <c r="CM34" s="902"/>
      <c r="CN34" s="903" t="s">
        <v>280</v>
      </c>
      <c r="CO34" s="904"/>
      <c r="CP34" s="904"/>
      <c r="CQ34" s="904"/>
      <c r="CR34" s="904"/>
      <c r="CS34" s="904"/>
      <c r="CT34" s="904"/>
      <c r="CU34" s="905"/>
      <c r="CV34" s="492" t="s">
        <v>284</v>
      </c>
      <c r="CW34" s="492" t="s">
        <v>32</v>
      </c>
      <c r="CX34" s="608">
        <v>0</v>
      </c>
      <c r="CY34" s="493">
        <v>0</v>
      </c>
      <c r="CZ34" s="493">
        <v>0</v>
      </c>
      <c r="DA34" s="516">
        <v>0</v>
      </c>
    </row>
    <row r="35" spans="1:105" customFormat="1" ht="33.75" customHeight="1">
      <c r="A35" s="898" t="s">
        <v>283</v>
      </c>
      <c r="B35" s="899"/>
      <c r="C35" s="899"/>
      <c r="D35" s="899"/>
      <c r="E35" s="899"/>
      <c r="F35" s="899"/>
      <c r="G35" s="899"/>
      <c r="H35" s="900"/>
      <c r="I35" s="901" t="s">
        <v>279</v>
      </c>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2"/>
      <c r="AY35" s="902"/>
      <c r="AZ35" s="902"/>
      <c r="BA35" s="902"/>
      <c r="BB35" s="902"/>
      <c r="BC35" s="902"/>
      <c r="BD35" s="902"/>
      <c r="BE35" s="902"/>
      <c r="BF35" s="902"/>
      <c r="BG35" s="902"/>
      <c r="BH35" s="902"/>
      <c r="BI35" s="902"/>
      <c r="BJ35" s="902"/>
      <c r="BK35" s="902"/>
      <c r="BL35" s="902"/>
      <c r="BM35" s="902"/>
      <c r="BN35" s="902"/>
      <c r="BO35" s="902"/>
      <c r="BP35" s="902"/>
      <c r="BQ35" s="902"/>
      <c r="BR35" s="902"/>
      <c r="BS35" s="902"/>
      <c r="BT35" s="902"/>
      <c r="BU35" s="902"/>
      <c r="BV35" s="902"/>
      <c r="BW35" s="902"/>
      <c r="BX35" s="902"/>
      <c r="BY35" s="902"/>
      <c r="BZ35" s="902"/>
      <c r="CA35" s="902"/>
      <c r="CB35" s="902"/>
      <c r="CC35" s="902"/>
      <c r="CD35" s="902"/>
      <c r="CE35" s="902"/>
      <c r="CF35" s="902"/>
      <c r="CG35" s="902"/>
      <c r="CH35" s="902"/>
      <c r="CI35" s="902"/>
      <c r="CJ35" s="902"/>
      <c r="CK35" s="902"/>
      <c r="CL35" s="902"/>
      <c r="CM35" s="902"/>
      <c r="CN35" s="903" t="s">
        <v>280</v>
      </c>
      <c r="CO35" s="904"/>
      <c r="CP35" s="904"/>
      <c r="CQ35" s="904"/>
      <c r="CR35" s="904"/>
      <c r="CS35" s="904"/>
      <c r="CT35" s="904"/>
      <c r="CU35" s="905"/>
      <c r="CV35" s="492" t="s">
        <v>425</v>
      </c>
      <c r="CW35" s="492" t="s">
        <v>32</v>
      </c>
      <c r="CX35" s="608">
        <v>0</v>
      </c>
      <c r="CY35" s="493">
        <v>0</v>
      </c>
      <c r="CZ35" s="493">
        <v>0</v>
      </c>
      <c r="DA35" s="516">
        <v>0</v>
      </c>
    </row>
    <row r="36" spans="1:105" ht="90" customHeight="1">
      <c r="A36" s="906">
        <v>3</v>
      </c>
      <c r="B36" s="906"/>
      <c r="C36" s="906"/>
      <c r="D36" s="906"/>
      <c r="E36" s="906"/>
      <c r="F36" s="906"/>
      <c r="G36" s="906"/>
      <c r="H36" s="906"/>
      <c r="I36" s="907" t="s">
        <v>285</v>
      </c>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8"/>
      <c r="AY36" s="908"/>
      <c r="AZ36" s="908"/>
      <c r="BA36" s="908"/>
      <c r="BB36" s="908"/>
      <c r="BC36" s="908"/>
      <c r="BD36" s="908"/>
      <c r="BE36" s="908"/>
      <c r="BF36" s="908"/>
      <c r="BG36" s="908"/>
      <c r="BH36" s="908"/>
      <c r="BI36" s="908"/>
      <c r="BJ36" s="908"/>
      <c r="BK36" s="908"/>
      <c r="BL36" s="908"/>
      <c r="BM36" s="908"/>
      <c r="BN36" s="908"/>
      <c r="BO36" s="908"/>
      <c r="BP36" s="908"/>
      <c r="BQ36" s="908"/>
      <c r="BR36" s="908"/>
      <c r="BS36" s="908"/>
      <c r="BT36" s="908"/>
      <c r="BU36" s="908"/>
      <c r="BV36" s="908"/>
      <c r="BW36" s="908"/>
      <c r="BX36" s="908"/>
      <c r="BY36" s="908"/>
      <c r="BZ36" s="908"/>
      <c r="CA36" s="908"/>
      <c r="CB36" s="908"/>
      <c r="CC36" s="908"/>
      <c r="CD36" s="908"/>
      <c r="CE36" s="908"/>
      <c r="CF36" s="908"/>
      <c r="CG36" s="908"/>
      <c r="CH36" s="908"/>
      <c r="CI36" s="908"/>
      <c r="CJ36" s="908"/>
      <c r="CK36" s="908"/>
      <c r="CL36" s="908"/>
      <c r="CM36" s="908"/>
      <c r="CN36" s="909" t="s">
        <v>286</v>
      </c>
      <c r="CO36" s="910"/>
      <c r="CP36" s="910"/>
      <c r="CQ36" s="910"/>
      <c r="CR36" s="910"/>
      <c r="CS36" s="910"/>
      <c r="CT36" s="910"/>
      <c r="CU36" s="911"/>
      <c r="CV36" s="494" t="s">
        <v>277</v>
      </c>
      <c r="CW36" s="494" t="s">
        <v>32</v>
      </c>
      <c r="CX36" s="609">
        <f>CX37</f>
        <v>24319448</v>
      </c>
      <c r="CY36" s="495">
        <f>CY38</f>
        <v>22908114.390000001</v>
      </c>
      <c r="CZ36" s="495">
        <f>CZ39</f>
        <v>15133385.050000001</v>
      </c>
      <c r="DA36" s="517">
        <v>0</v>
      </c>
    </row>
    <row r="37" spans="1:105" ht="30.75" customHeight="1">
      <c r="A37" s="892" t="s">
        <v>287</v>
      </c>
      <c r="B37" s="892"/>
      <c r="C37" s="892"/>
      <c r="D37" s="892"/>
      <c r="E37" s="892"/>
      <c r="F37" s="892"/>
      <c r="G37" s="892"/>
      <c r="H37" s="892"/>
      <c r="I37" s="893" t="s">
        <v>279</v>
      </c>
      <c r="J37" s="894"/>
      <c r="K37" s="894"/>
      <c r="L37" s="894"/>
      <c r="M37" s="894"/>
      <c r="N37" s="894"/>
      <c r="O37" s="894"/>
      <c r="P37" s="894"/>
      <c r="Q37" s="894"/>
      <c r="R37" s="894"/>
      <c r="S37" s="894"/>
      <c r="T37" s="894"/>
      <c r="U37" s="894"/>
      <c r="V37" s="894"/>
      <c r="W37" s="894"/>
      <c r="X37" s="894"/>
      <c r="Y37" s="894"/>
      <c r="Z37" s="894"/>
      <c r="AA37" s="894"/>
      <c r="AB37" s="894"/>
      <c r="AC37" s="894"/>
      <c r="AD37" s="894"/>
      <c r="AE37" s="894"/>
      <c r="AF37" s="894"/>
      <c r="AG37" s="894"/>
      <c r="AH37" s="894"/>
      <c r="AI37" s="894"/>
      <c r="AJ37" s="894"/>
      <c r="AK37" s="894"/>
      <c r="AL37" s="894"/>
      <c r="AM37" s="894"/>
      <c r="AN37" s="894"/>
      <c r="AO37" s="894"/>
      <c r="AP37" s="894"/>
      <c r="AQ37" s="894"/>
      <c r="AR37" s="894"/>
      <c r="AS37" s="894"/>
      <c r="AT37" s="894"/>
      <c r="AU37" s="894"/>
      <c r="AV37" s="894"/>
      <c r="AW37" s="894"/>
      <c r="AX37" s="894"/>
      <c r="AY37" s="894"/>
      <c r="AZ37" s="894"/>
      <c r="BA37" s="894"/>
      <c r="BB37" s="894"/>
      <c r="BC37" s="894"/>
      <c r="BD37" s="894"/>
      <c r="BE37" s="894"/>
      <c r="BF37" s="894"/>
      <c r="BG37" s="894"/>
      <c r="BH37" s="894"/>
      <c r="BI37" s="894"/>
      <c r="BJ37" s="894"/>
      <c r="BK37" s="894"/>
      <c r="BL37" s="894"/>
      <c r="BM37" s="894"/>
      <c r="BN37" s="894"/>
      <c r="BO37" s="894"/>
      <c r="BP37" s="894"/>
      <c r="BQ37" s="894"/>
      <c r="BR37" s="894"/>
      <c r="BS37" s="894"/>
      <c r="BT37" s="894"/>
      <c r="BU37" s="894"/>
      <c r="BV37" s="894"/>
      <c r="BW37" s="894"/>
      <c r="BX37" s="894"/>
      <c r="BY37" s="894"/>
      <c r="BZ37" s="894"/>
      <c r="CA37" s="894"/>
      <c r="CB37" s="894"/>
      <c r="CC37" s="894"/>
      <c r="CD37" s="894"/>
      <c r="CE37" s="894"/>
      <c r="CF37" s="894"/>
      <c r="CG37" s="894"/>
      <c r="CH37" s="894"/>
      <c r="CI37" s="894"/>
      <c r="CJ37" s="894"/>
      <c r="CK37" s="894"/>
      <c r="CL37" s="894"/>
      <c r="CM37" s="894"/>
      <c r="CN37" s="895" t="s">
        <v>288</v>
      </c>
      <c r="CO37" s="896"/>
      <c r="CP37" s="896"/>
      <c r="CQ37" s="896"/>
      <c r="CR37" s="896"/>
      <c r="CS37" s="896"/>
      <c r="CT37" s="896"/>
      <c r="CU37" s="897"/>
      <c r="CV37" s="496" t="s">
        <v>284</v>
      </c>
      <c r="CW37" s="496" t="s">
        <v>32</v>
      </c>
      <c r="CX37" s="610">
        <v>24319448</v>
      </c>
      <c r="CY37" s="497">
        <v>0</v>
      </c>
      <c r="CZ37" s="497">
        <v>0</v>
      </c>
      <c r="DA37" s="518">
        <v>0</v>
      </c>
    </row>
    <row r="38" spans="1:105" ht="30.75" customHeight="1">
      <c r="A38" s="892" t="s">
        <v>289</v>
      </c>
      <c r="B38" s="892"/>
      <c r="C38" s="892"/>
      <c r="D38" s="892"/>
      <c r="E38" s="892"/>
      <c r="F38" s="892"/>
      <c r="G38" s="892"/>
      <c r="H38" s="892"/>
      <c r="I38" s="893" t="s">
        <v>279</v>
      </c>
      <c r="J38" s="894"/>
      <c r="K38" s="894"/>
      <c r="L38" s="894"/>
      <c r="M38" s="894"/>
      <c r="N38" s="894"/>
      <c r="O38" s="894"/>
      <c r="P38" s="894"/>
      <c r="Q38" s="894"/>
      <c r="R38" s="894"/>
      <c r="S38" s="894"/>
      <c r="T38" s="894"/>
      <c r="U38" s="894"/>
      <c r="V38" s="894"/>
      <c r="W38" s="894"/>
      <c r="X38" s="894"/>
      <c r="Y38" s="894"/>
      <c r="Z38" s="894"/>
      <c r="AA38" s="894"/>
      <c r="AB38" s="894"/>
      <c r="AC38" s="894"/>
      <c r="AD38" s="894"/>
      <c r="AE38" s="894"/>
      <c r="AF38" s="894"/>
      <c r="AG38" s="894"/>
      <c r="AH38" s="894"/>
      <c r="AI38" s="894"/>
      <c r="AJ38" s="894"/>
      <c r="AK38" s="894"/>
      <c r="AL38" s="894"/>
      <c r="AM38" s="894"/>
      <c r="AN38" s="894"/>
      <c r="AO38" s="894"/>
      <c r="AP38" s="894"/>
      <c r="AQ38" s="894"/>
      <c r="AR38" s="894"/>
      <c r="AS38" s="894"/>
      <c r="AT38" s="894"/>
      <c r="AU38" s="894"/>
      <c r="AV38" s="894"/>
      <c r="AW38" s="894"/>
      <c r="AX38" s="894"/>
      <c r="AY38" s="894"/>
      <c r="AZ38" s="894"/>
      <c r="BA38" s="894"/>
      <c r="BB38" s="894"/>
      <c r="BC38" s="894"/>
      <c r="BD38" s="894"/>
      <c r="BE38" s="894"/>
      <c r="BF38" s="894"/>
      <c r="BG38" s="894"/>
      <c r="BH38" s="894"/>
      <c r="BI38" s="894"/>
      <c r="BJ38" s="894"/>
      <c r="BK38" s="894"/>
      <c r="BL38" s="894"/>
      <c r="BM38" s="894"/>
      <c r="BN38" s="894"/>
      <c r="BO38" s="894"/>
      <c r="BP38" s="894"/>
      <c r="BQ38" s="894"/>
      <c r="BR38" s="894"/>
      <c r="BS38" s="894"/>
      <c r="BT38" s="894"/>
      <c r="BU38" s="894"/>
      <c r="BV38" s="894"/>
      <c r="BW38" s="894"/>
      <c r="BX38" s="894"/>
      <c r="BY38" s="894"/>
      <c r="BZ38" s="894"/>
      <c r="CA38" s="894"/>
      <c r="CB38" s="894"/>
      <c r="CC38" s="894"/>
      <c r="CD38" s="894"/>
      <c r="CE38" s="894"/>
      <c r="CF38" s="894"/>
      <c r="CG38" s="894"/>
      <c r="CH38" s="894"/>
      <c r="CI38" s="894"/>
      <c r="CJ38" s="894"/>
      <c r="CK38" s="894"/>
      <c r="CL38" s="894"/>
      <c r="CM38" s="894"/>
      <c r="CN38" s="895" t="s">
        <v>288</v>
      </c>
      <c r="CO38" s="896"/>
      <c r="CP38" s="896"/>
      <c r="CQ38" s="896"/>
      <c r="CR38" s="896"/>
      <c r="CS38" s="896"/>
      <c r="CT38" s="896"/>
      <c r="CU38" s="897"/>
      <c r="CV38" s="496" t="s">
        <v>425</v>
      </c>
      <c r="CW38" s="496" t="s">
        <v>32</v>
      </c>
      <c r="CX38" s="610">
        <v>0</v>
      </c>
      <c r="CY38" s="497">
        <v>22908114.390000001</v>
      </c>
      <c r="CZ38" s="497">
        <v>0</v>
      </c>
      <c r="DA38" s="518">
        <v>0</v>
      </c>
    </row>
    <row r="39" spans="1:105" ht="30.75" customHeight="1">
      <c r="A39" s="892" t="s">
        <v>290</v>
      </c>
      <c r="B39" s="892"/>
      <c r="C39" s="892"/>
      <c r="D39" s="892"/>
      <c r="E39" s="892"/>
      <c r="F39" s="892"/>
      <c r="G39" s="892"/>
      <c r="H39" s="892"/>
      <c r="I39" s="893" t="s">
        <v>279</v>
      </c>
      <c r="J39" s="894"/>
      <c r="K39" s="894"/>
      <c r="L39" s="894"/>
      <c r="M39" s="894"/>
      <c r="N39" s="894"/>
      <c r="O39" s="894"/>
      <c r="P39" s="894"/>
      <c r="Q39" s="894"/>
      <c r="R39" s="894"/>
      <c r="S39" s="894"/>
      <c r="T39" s="894"/>
      <c r="U39" s="894"/>
      <c r="V39" s="894"/>
      <c r="W39" s="894"/>
      <c r="X39" s="894"/>
      <c r="Y39" s="894"/>
      <c r="Z39" s="894"/>
      <c r="AA39" s="894"/>
      <c r="AB39" s="894"/>
      <c r="AC39" s="894"/>
      <c r="AD39" s="894"/>
      <c r="AE39" s="894"/>
      <c r="AF39" s="894"/>
      <c r="AG39" s="894"/>
      <c r="AH39" s="894"/>
      <c r="AI39" s="894"/>
      <c r="AJ39" s="894"/>
      <c r="AK39" s="894"/>
      <c r="AL39" s="894"/>
      <c r="AM39" s="894"/>
      <c r="AN39" s="894"/>
      <c r="AO39" s="894"/>
      <c r="AP39" s="894"/>
      <c r="AQ39" s="894"/>
      <c r="AR39" s="894"/>
      <c r="AS39" s="894"/>
      <c r="AT39" s="894"/>
      <c r="AU39" s="894"/>
      <c r="AV39" s="894"/>
      <c r="AW39" s="894"/>
      <c r="AX39" s="894"/>
      <c r="AY39" s="894"/>
      <c r="AZ39" s="894"/>
      <c r="BA39" s="894"/>
      <c r="BB39" s="894"/>
      <c r="BC39" s="894"/>
      <c r="BD39" s="894"/>
      <c r="BE39" s="894"/>
      <c r="BF39" s="894"/>
      <c r="BG39" s="894"/>
      <c r="BH39" s="894"/>
      <c r="BI39" s="894"/>
      <c r="BJ39" s="894"/>
      <c r="BK39" s="894"/>
      <c r="BL39" s="894"/>
      <c r="BM39" s="894"/>
      <c r="BN39" s="894"/>
      <c r="BO39" s="894"/>
      <c r="BP39" s="894"/>
      <c r="BQ39" s="894"/>
      <c r="BR39" s="894"/>
      <c r="BS39" s="894"/>
      <c r="BT39" s="894"/>
      <c r="BU39" s="894"/>
      <c r="BV39" s="894"/>
      <c r="BW39" s="894"/>
      <c r="BX39" s="894"/>
      <c r="BY39" s="894"/>
      <c r="BZ39" s="894"/>
      <c r="CA39" s="894"/>
      <c r="CB39" s="894"/>
      <c r="CC39" s="894"/>
      <c r="CD39" s="894"/>
      <c r="CE39" s="894"/>
      <c r="CF39" s="894"/>
      <c r="CG39" s="894"/>
      <c r="CH39" s="894"/>
      <c r="CI39" s="894"/>
      <c r="CJ39" s="894"/>
      <c r="CK39" s="894"/>
      <c r="CL39" s="894"/>
      <c r="CM39" s="894"/>
      <c r="CN39" s="895" t="s">
        <v>288</v>
      </c>
      <c r="CO39" s="896"/>
      <c r="CP39" s="896"/>
      <c r="CQ39" s="896"/>
      <c r="CR39" s="896"/>
      <c r="CS39" s="896"/>
      <c r="CT39" s="896"/>
      <c r="CU39" s="897"/>
      <c r="CV39" s="496" t="s">
        <v>792</v>
      </c>
      <c r="CW39" s="496" t="s">
        <v>32</v>
      </c>
      <c r="CX39" s="610">
        <v>0</v>
      </c>
      <c r="CY39" s="497">
        <v>0</v>
      </c>
      <c r="CZ39" s="497">
        <v>15133385.050000001</v>
      </c>
      <c r="DA39" s="518">
        <v>0</v>
      </c>
    </row>
    <row r="40" spans="1:105" ht="39.75" hidden="1" customHeight="1">
      <c r="A40" s="470"/>
      <c r="B40" s="470"/>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470"/>
      <c r="AN40" s="470"/>
      <c r="AO40" s="470"/>
      <c r="AP40" s="470"/>
      <c r="AQ40" s="470"/>
      <c r="AR40" s="470"/>
      <c r="AS40" s="470"/>
      <c r="AT40" s="470"/>
      <c r="AU40" s="470"/>
      <c r="AV40" s="470"/>
      <c r="AW40" s="470"/>
      <c r="AX40" s="470"/>
      <c r="AY40" s="470"/>
      <c r="AZ40" s="470"/>
      <c r="BA40" s="470"/>
      <c r="BB40" s="470"/>
      <c r="BC40" s="470"/>
      <c r="BD40" s="470"/>
      <c r="BE40" s="470"/>
      <c r="BF40" s="470"/>
      <c r="BG40" s="470"/>
      <c r="BH40" s="470"/>
      <c r="BI40" s="470"/>
      <c r="BJ40" s="470"/>
      <c r="BK40" s="470"/>
      <c r="BL40" s="470"/>
      <c r="BM40" s="470"/>
      <c r="BN40" s="470"/>
      <c r="BO40" s="470"/>
      <c r="BP40" s="470"/>
      <c r="BQ40" s="470"/>
      <c r="BR40" s="470"/>
      <c r="BS40" s="470"/>
      <c r="BT40" s="470"/>
      <c r="BU40" s="470"/>
      <c r="BV40" s="470"/>
      <c r="BW40" s="470"/>
      <c r="BX40" s="470"/>
      <c r="BY40" s="470"/>
      <c r="BZ40" s="470"/>
      <c r="CA40" s="470"/>
      <c r="CB40" s="470"/>
      <c r="CC40" s="470"/>
      <c r="CD40" s="470"/>
      <c r="CE40" s="470"/>
      <c r="CF40" s="470"/>
      <c r="CG40" s="470"/>
      <c r="CH40" s="470"/>
      <c r="CI40" s="470"/>
      <c r="CJ40" s="470"/>
      <c r="CK40" s="470"/>
      <c r="CL40" s="470"/>
      <c r="CM40" s="470"/>
      <c r="CN40" s="470"/>
      <c r="CO40" s="470"/>
      <c r="CP40" s="470"/>
      <c r="CQ40" s="470"/>
      <c r="CR40" s="470"/>
      <c r="CS40" s="470"/>
      <c r="CT40" s="470"/>
      <c r="CU40" s="470"/>
      <c r="CV40" s="470"/>
      <c r="CW40" s="470"/>
      <c r="CX40" s="611"/>
      <c r="CY40" s="470"/>
      <c r="CZ40" s="470"/>
      <c r="DA40" s="470"/>
    </row>
    <row r="41" spans="1:105" s="245" customFormat="1" ht="15.75" hidden="1">
      <c r="D41" s="308"/>
      <c r="E41" s="309"/>
      <c r="F41" s="309"/>
      <c r="G41" s="309"/>
      <c r="H41" s="309"/>
      <c r="I41" s="310"/>
      <c r="J41" s="309"/>
      <c r="K41" s="309"/>
      <c r="L41" s="309"/>
      <c r="M41" s="309"/>
      <c r="N41" s="309"/>
      <c r="O41" s="309"/>
      <c r="CX41" s="611"/>
    </row>
    <row r="42" spans="1:105" s="245" customFormat="1" ht="15.75" hidden="1">
      <c r="D42" s="287"/>
      <c r="I42" s="471"/>
      <c r="AQ42" s="889"/>
      <c r="AR42" s="889"/>
      <c r="AS42" s="889"/>
      <c r="AT42" s="889"/>
      <c r="AU42" s="889"/>
      <c r="AV42" s="889"/>
      <c r="AW42" s="889"/>
      <c r="AX42" s="889"/>
      <c r="AY42" s="889"/>
      <c r="AZ42" s="889"/>
      <c r="BA42" s="889"/>
      <c r="BB42" s="889"/>
      <c r="BC42" s="889"/>
      <c r="BD42" s="889"/>
      <c r="BE42" s="889"/>
      <c r="BF42" s="889"/>
      <c r="BG42" s="889"/>
      <c r="BH42" s="889"/>
      <c r="BK42" s="889"/>
      <c r="BL42" s="889"/>
      <c r="BM42" s="889"/>
      <c r="BN42" s="889"/>
      <c r="BO42" s="889"/>
      <c r="BP42" s="889"/>
      <c r="BQ42" s="889"/>
      <c r="BR42" s="889"/>
      <c r="BS42" s="889"/>
      <c r="BT42" s="889"/>
      <c r="BU42" s="889"/>
      <c r="BV42" s="889"/>
      <c r="BY42" s="889"/>
      <c r="BZ42" s="889"/>
      <c r="CA42" s="889"/>
      <c r="CB42" s="889"/>
      <c r="CC42" s="889"/>
      <c r="CD42" s="889"/>
      <c r="CE42" s="889"/>
      <c r="CF42" s="889"/>
      <c r="CG42" s="889"/>
      <c r="CH42" s="889"/>
      <c r="CI42" s="889"/>
      <c r="CJ42" s="889"/>
      <c r="CK42" s="889"/>
      <c r="CL42" s="889"/>
      <c r="CM42" s="889"/>
      <c r="CN42" s="889"/>
      <c r="CO42" s="889"/>
      <c r="CP42" s="889"/>
      <c r="CQ42" s="889"/>
      <c r="CR42" s="889"/>
      <c r="CX42" s="611"/>
    </row>
    <row r="43" spans="1:105" s="312" customFormat="1" ht="19.5" hidden="1" customHeight="1">
      <c r="A43" s="309"/>
      <c r="B43" s="309"/>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890"/>
      <c r="AR43" s="890"/>
      <c r="AS43" s="890"/>
      <c r="AT43" s="890"/>
      <c r="AU43" s="890"/>
      <c r="AV43" s="890"/>
      <c r="AW43" s="890"/>
      <c r="AX43" s="890"/>
      <c r="AY43" s="890"/>
      <c r="AZ43" s="890"/>
      <c r="BA43" s="890"/>
      <c r="BB43" s="890"/>
      <c r="BC43" s="890"/>
      <c r="BD43" s="890"/>
      <c r="BE43" s="890"/>
      <c r="BF43" s="890"/>
      <c r="BG43" s="890"/>
      <c r="BH43" s="890"/>
      <c r="BI43" s="309"/>
      <c r="BJ43" s="309"/>
      <c r="BK43" s="890"/>
      <c r="BL43" s="890"/>
      <c r="BM43" s="890"/>
      <c r="BN43" s="890"/>
      <c r="BO43" s="890"/>
      <c r="BP43" s="890"/>
      <c r="BQ43" s="890"/>
      <c r="BR43" s="890"/>
      <c r="BS43" s="890"/>
      <c r="BT43" s="890"/>
      <c r="BU43" s="890"/>
      <c r="BV43" s="890"/>
      <c r="BW43" s="309"/>
      <c r="BX43" s="309"/>
      <c r="BY43" s="890"/>
      <c r="BZ43" s="890"/>
      <c r="CA43" s="890"/>
      <c r="CB43" s="890"/>
      <c r="CC43" s="890"/>
      <c r="CD43" s="890"/>
      <c r="CE43" s="890"/>
      <c r="CF43" s="890"/>
      <c r="CG43" s="890"/>
      <c r="CH43" s="890"/>
      <c r="CI43" s="890"/>
      <c r="CJ43" s="890"/>
      <c r="CK43" s="890"/>
      <c r="CL43" s="890"/>
      <c r="CM43" s="890"/>
      <c r="CN43" s="890"/>
      <c r="CO43" s="890"/>
      <c r="CP43" s="890"/>
      <c r="CQ43" s="890"/>
      <c r="CR43" s="890"/>
      <c r="CS43" s="309"/>
      <c r="CT43" s="309"/>
      <c r="CU43" s="309"/>
      <c r="CV43" s="309"/>
      <c r="CW43" s="309"/>
      <c r="CX43" s="612"/>
      <c r="CY43" s="309"/>
      <c r="CZ43" s="309"/>
      <c r="DA43" s="309"/>
    </row>
    <row r="44" spans="1:105" s="313" customFormat="1" ht="3" customHeight="1">
      <c r="A44" s="472"/>
      <c r="B44" s="472"/>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2"/>
      <c r="AN44" s="472"/>
      <c r="AO44" s="472"/>
      <c r="AP44" s="472"/>
      <c r="AQ44" s="473"/>
      <c r="AR44" s="473"/>
      <c r="AS44" s="473"/>
      <c r="AT44" s="473"/>
      <c r="AU44" s="473"/>
      <c r="AV44" s="473"/>
      <c r="AW44" s="473"/>
      <c r="AX44" s="473"/>
      <c r="AY44" s="473"/>
      <c r="AZ44" s="473"/>
      <c r="BA44" s="473"/>
      <c r="BB44" s="473"/>
      <c r="BC44" s="473"/>
      <c r="BD44" s="473"/>
      <c r="BE44" s="473"/>
      <c r="BF44" s="473"/>
      <c r="BG44" s="473"/>
      <c r="BH44" s="473"/>
      <c r="BI44" s="472"/>
      <c r="BJ44" s="472"/>
      <c r="BK44" s="473"/>
      <c r="BL44" s="473"/>
      <c r="BM44" s="473"/>
      <c r="BN44" s="473"/>
      <c r="BO44" s="473"/>
      <c r="BP44" s="473"/>
      <c r="BQ44" s="473"/>
      <c r="BR44" s="473"/>
      <c r="BS44" s="473"/>
      <c r="BT44" s="473"/>
      <c r="BU44" s="473"/>
      <c r="BV44" s="473"/>
      <c r="BW44" s="472"/>
      <c r="BX44" s="472"/>
      <c r="BY44" s="473"/>
      <c r="BZ44" s="473"/>
      <c r="CA44" s="473"/>
      <c r="CB44" s="473"/>
      <c r="CC44" s="473"/>
      <c r="CD44" s="473"/>
      <c r="CE44" s="473"/>
      <c r="CF44" s="473"/>
      <c r="CG44" s="473"/>
      <c r="CH44" s="473"/>
      <c r="CI44" s="473"/>
      <c r="CJ44" s="473"/>
      <c r="CK44" s="473"/>
      <c r="CL44" s="473"/>
      <c r="CM44" s="473"/>
      <c r="CN44" s="473"/>
      <c r="CO44" s="473"/>
      <c r="CP44" s="473"/>
      <c r="CQ44" s="473"/>
      <c r="CR44" s="473"/>
      <c r="CS44" s="472"/>
      <c r="CT44" s="472"/>
      <c r="CU44" s="472"/>
      <c r="CV44" s="472"/>
      <c r="CW44" s="472"/>
      <c r="CX44" s="612"/>
      <c r="CY44" s="472"/>
      <c r="CZ44" s="472"/>
      <c r="DA44" s="472"/>
    </row>
    <row r="45" spans="1:105" ht="54.75" customHeight="1">
      <c r="A45" s="470"/>
      <c r="B45" s="470"/>
      <c r="C45" s="470"/>
      <c r="D45" s="287"/>
      <c r="E45" s="470"/>
      <c r="F45" s="474" t="s">
        <v>291</v>
      </c>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0"/>
      <c r="AI45" s="470"/>
      <c r="AJ45" s="470"/>
      <c r="AK45" s="470"/>
      <c r="AL45" s="470"/>
      <c r="AM45" s="891" t="s">
        <v>740</v>
      </c>
      <c r="AN45" s="886"/>
      <c r="AO45" s="886"/>
      <c r="AP45" s="886"/>
      <c r="AQ45" s="886"/>
      <c r="AR45" s="886"/>
      <c r="AS45" s="886"/>
      <c r="AT45" s="886"/>
      <c r="AU45" s="886"/>
      <c r="AV45" s="886"/>
      <c r="AW45" s="886"/>
      <c r="AX45" s="886"/>
      <c r="AY45" s="886"/>
      <c r="AZ45" s="886"/>
      <c r="BA45" s="886"/>
      <c r="BB45" s="886"/>
      <c r="BC45" s="886"/>
      <c r="BD45" s="886"/>
      <c r="BE45" s="470"/>
      <c r="BF45" s="470"/>
      <c r="BG45" s="886" t="s">
        <v>739</v>
      </c>
      <c r="BH45" s="886"/>
      <c r="BI45" s="886"/>
      <c r="BJ45" s="886"/>
      <c r="BK45" s="886"/>
      <c r="BL45" s="886"/>
      <c r="BM45" s="886"/>
      <c r="BN45" s="886"/>
      <c r="BO45" s="886"/>
      <c r="BP45" s="886"/>
      <c r="BQ45" s="886"/>
      <c r="BR45" s="886"/>
      <c r="BS45" s="886"/>
      <c r="BT45" s="886"/>
      <c r="BU45" s="886"/>
      <c r="BV45" s="886"/>
      <c r="BW45" s="886"/>
      <c r="BX45" s="886"/>
      <c r="BY45" s="470"/>
      <c r="BZ45" s="470"/>
      <c r="CA45" s="832" t="s">
        <v>426</v>
      </c>
      <c r="CB45" s="832"/>
      <c r="CC45" s="832"/>
      <c r="CD45" s="832"/>
      <c r="CE45" s="832"/>
      <c r="CF45" s="832"/>
      <c r="CG45" s="832"/>
      <c r="CH45" s="832"/>
      <c r="CI45" s="832"/>
      <c r="CJ45" s="832"/>
      <c r="CK45" s="832"/>
      <c r="CL45" s="832"/>
      <c r="CM45" s="832"/>
      <c r="CN45" s="832"/>
      <c r="CO45" s="832"/>
      <c r="CP45" s="832"/>
      <c r="CQ45" s="832"/>
      <c r="CR45" s="832"/>
      <c r="CS45" s="470"/>
      <c r="CT45" s="470"/>
      <c r="CU45" s="470"/>
      <c r="CV45" s="470"/>
      <c r="CW45" s="470"/>
      <c r="CX45" s="611"/>
      <c r="CY45" s="470"/>
      <c r="CZ45" s="470"/>
      <c r="DA45" s="470"/>
    </row>
    <row r="46" spans="1:105" ht="21.75" customHeight="1">
      <c r="A46" s="470"/>
      <c r="B46" s="470"/>
      <c r="C46" s="470"/>
      <c r="D46" s="287"/>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868" t="s">
        <v>294</v>
      </c>
      <c r="AN46" s="868"/>
      <c r="AO46" s="868"/>
      <c r="AP46" s="868"/>
      <c r="AQ46" s="868"/>
      <c r="AR46" s="868"/>
      <c r="AS46" s="868"/>
      <c r="AT46" s="868"/>
      <c r="AU46" s="868"/>
      <c r="AV46" s="868"/>
      <c r="AW46" s="868"/>
      <c r="AX46" s="868"/>
      <c r="AY46" s="868"/>
      <c r="AZ46" s="868"/>
      <c r="BA46" s="868"/>
      <c r="BB46" s="868"/>
      <c r="BC46" s="868"/>
      <c r="BD46" s="868"/>
      <c r="BE46" s="470"/>
      <c r="BF46" s="470"/>
      <c r="BG46" s="868" t="s">
        <v>295</v>
      </c>
      <c r="BH46" s="868"/>
      <c r="BI46" s="868"/>
      <c r="BJ46" s="868"/>
      <c r="BK46" s="868"/>
      <c r="BL46" s="868"/>
      <c r="BM46" s="868"/>
      <c r="BN46" s="868"/>
      <c r="BO46" s="868"/>
      <c r="BP46" s="868"/>
      <c r="BQ46" s="868"/>
      <c r="BR46" s="868"/>
      <c r="BS46" s="868"/>
      <c r="BT46" s="868"/>
      <c r="BU46" s="868"/>
      <c r="BV46" s="868"/>
      <c r="BW46" s="868"/>
      <c r="BX46" s="868"/>
      <c r="BY46" s="470"/>
      <c r="BZ46" s="470"/>
      <c r="CA46" s="868" t="s">
        <v>296</v>
      </c>
      <c r="CB46" s="868"/>
      <c r="CC46" s="868"/>
      <c r="CD46" s="868"/>
      <c r="CE46" s="868"/>
      <c r="CF46" s="868"/>
      <c r="CG46" s="868"/>
      <c r="CH46" s="868"/>
      <c r="CI46" s="868"/>
      <c r="CJ46" s="868"/>
      <c r="CK46" s="868"/>
      <c r="CL46" s="868"/>
      <c r="CM46" s="868"/>
      <c r="CN46" s="868"/>
      <c r="CO46" s="868"/>
      <c r="CP46" s="868"/>
      <c r="CQ46" s="868"/>
      <c r="CR46" s="868"/>
      <c r="CS46" s="470"/>
      <c r="CT46" s="470"/>
      <c r="CU46" s="470"/>
      <c r="CV46" s="470"/>
      <c r="CW46" s="470"/>
      <c r="CX46" s="611"/>
      <c r="CY46" s="470"/>
      <c r="CZ46" s="470"/>
      <c r="DA46" s="470"/>
    </row>
    <row r="47" spans="1:105" s="313" customFormat="1" ht="3" customHeight="1">
      <c r="A47" s="472"/>
      <c r="B47" s="472"/>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3"/>
      <c r="AN47" s="473"/>
      <c r="AO47" s="473"/>
      <c r="AP47" s="473"/>
      <c r="AQ47" s="473"/>
      <c r="AR47" s="473"/>
      <c r="AS47" s="473"/>
      <c r="AT47" s="473"/>
      <c r="AU47" s="473"/>
      <c r="AV47" s="473"/>
      <c r="AW47" s="473"/>
      <c r="AX47" s="473"/>
      <c r="AY47" s="473"/>
      <c r="AZ47" s="473"/>
      <c r="BA47" s="473"/>
      <c r="BB47" s="473"/>
      <c r="BC47" s="473"/>
      <c r="BD47" s="473"/>
      <c r="BE47" s="472"/>
      <c r="BF47" s="472"/>
      <c r="BG47" s="473"/>
      <c r="BH47" s="473"/>
      <c r="BI47" s="473"/>
      <c r="BJ47" s="473"/>
      <c r="BK47" s="473"/>
      <c r="BL47" s="473"/>
      <c r="BM47" s="473"/>
      <c r="BN47" s="473"/>
      <c r="BO47" s="473"/>
      <c r="BP47" s="473"/>
      <c r="BQ47" s="473"/>
      <c r="BR47" s="473"/>
      <c r="BS47" s="473"/>
      <c r="BT47" s="473"/>
      <c r="BU47" s="473"/>
      <c r="BV47" s="473"/>
      <c r="BW47" s="473"/>
      <c r="BX47" s="473"/>
      <c r="BY47" s="472"/>
      <c r="BZ47" s="472"/>
      <c r="CA47" s="473"/>
      <c r="CB47" s="473"/>
      <c r="CC47" s="473"/>
      <c r="CD47" s="473"/>
      <c r="CE47" s="473"/>
      <c r="CF47" s="473"/>
      <c r="CG47" s="473"/>
      <c r="CH47" s="473"/>
      <c r="CI47" s="473"/>
      <c r="CJ47" s="473"/>
      <c r="CK47" s="473"/>
      <c r="CL47" s="473"/>
      <c r="CM47" s="473"/>
      <c r="CN47" s="473"/>
      <c r="CO47" s="473"/>
      <c r="CP47" s="473"/>
      <c r="CQ47" s="473"/>
      <c r="CR47" s="473"/>
      <c r="CS47" s="472"/>
      <c r="CT47" s="472"/>
      <c r="CU47" s="472"/>
      <c r="CV47" s="472"/>
      <c r="CW47" s="472"/>
      <c r="CX47" s="612"/>
      <c r="CY47" s="472"/>
      <c r="CZ47" s="472"/>
      <c r="DA47" s="472"/>
    </row>
    <row r="48" spans="1:105" s="313" customFormat="1" ht="13.15" customHeight="1">
      <c r="A48" s="472"/>
      <c r="B48" s="472"/>
      <c r="C48" s="472"/>
      <c r="D48" s="472"/>
      <c r="E48" s="472"/>
      <c r="F48" s="472" t="s">
        <v>700</v>
      </c>
      <c r="G48" s="472"/>
      <c r="H48" s="472"/>
      <c r="I48" s="876" t="s">
        <v>297</v>
      </c>
      <c r="J48" s="876"/>
      <c r="K48" s="877"/>
      <c r="L48" s="877"/>
      <c r="M48" s="877"/>
      <c r="N48" s="878" t="s">
        <v>297</v>
      </c>
      <c r="O48" s="878"/>
      <c r="P48" s="472"/>
      <c r="Q48" s="879"/>
      <c r="R48" s="879"/>
      <c r="S48" s="879"/>
      <c r="T48" s="879"/>
      <c r="U48" s="879"/>
      <c r="V48" s="879"/>
      <c r="W48" s="879"/>
      <c r="X48" s="879"/>
      <c r="Y48" s="879"/>
      <c r="Z48" s="879"/>
      <c r="AA48" s="879"/>
      <c r="AB48" s="879"/>
      <c r="AC48" s="879"/>
      <c r="AD48" s="879"/>
      <c r="AE48" s="879"/>
      <c r="AF48" s="475"/>
      <c r="AG48" s="880">
        <v>2022</v>
      </c>
      <c r="AH48" s="881"/>
      <c r="AI48" s="881"/>
      <c r="AJ48" s="881"/>
      <c r="AK48" s="881"/>
      <c r="AL48" s="476" t="s">
        <v>300</v>
      </c>
      <c r="AM48" s="472"/>
      <c r="AN48" s="472"/>
      <c r="AO48" s="472"/>
      <c r="AP48" s="472"/>
      <c r="AQ48" s="472"/>
      <c r="AR48" s="472"/>
      <c r="AS48" s="472"/>
      <c r="AT48" s="472"/>
      <c r="AU48" s="472"/>
      <c r="AV48" s="472"/>
      <c r="AW48" s="472"/>
      <c r="AX48" s="472"/>
      <c r="AY48" s="472"/>
      <c r="AZ48" s="472"/>
      <c r="BA48" s="472"/>
      <c r="BB48" s="472"/>
      <c r="BC48" s="472"/>
      <c r="BD48" s="472"/>
      <c r="BE48" s="472"/>
      <c r="BF48" s="472"/>
      <c r="BG48" s="472"/>
      <c r="BH48" s="472"/>
      <c r="BI48" s="472"/>
      <c r="BJ48" s="472"/>
      <c r="BK48" s="472"/>
      <c r="BL48" s="472"/>
      <c r="BM48" s="472"/>
      <c r="BN48" s="472"/>
      <c r="BO48" s="472"/>
      <c r="BP48" s="472"/>
      <c r="BQ48" s="472"/>
      <c r="BR48" s="472"/>
      <c r="BS48" s="472"/>
      <c r="BT48" s="472"/>
      <c r="BU48" s="472"/>
      <c r="BV48" s="472"/>
      <c r="BW48" s="472"/>
      <c r="BX48" s="472"/>
      <c r="BY48" s="472"/>
      <c r="BZ48" s="472"/>
      <c r="CA48" s="472"/>
      <c r="CB48" s="472"/>
      <c r="CC48" s="472"/>
      <c r="CD48" s="472"/>
      <c r="CE48" s="472"/>
      <c r="CF48" s="472"/>
      <c r="CG48" s="472"/>
      <c r="CH48" s="472"/>
      <c r="CI48" s="472"/>
      <c r="CJ48" s="472"/>
      <c r="CK48" s="472"/>
      <c r="CL48" s="472"/>
      <c r="CM48" s="472"/>
      <c r="CN48" s="472"/>
      <c r="CO48" s="472"/>
      <c r="CP48" s="472"/>
      <c r="CQ48" s="472"/>
      <c r="CR48" s="472"/>
      <c r="CS48" s="472"/>
      <c r="CT48" s="472"/>
      <c r="CU48" s="472"/>
      <c r="CV48" s="472"/>
      <c r="CW48" s="472"/>
      <c r="CX48" s="612"/>
      <c r="CY48" s="472"/>
      <c r="CZ48" s="472"/>
      <c r="DA48" s="472"/>
    </row>
    <row r="49" spans="1:105" s="313" customFormat="1" ht="42" customHeight="1">
      <c r="A49" s="472"/>
      <c r="B49" s="472"/>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c r="AO49" s="472"/>
      <c r="AP49" s="472"/>
      <c r="AQ49" s="472"/>
      <c r="AR49" s="472"/>
      <c r="AS49" s="472"/>
      <c r="AT49" s="472"/>
      <c r="AU49" s="472"/>
      <c r="AV49" s="472"/>
      <c r="AW49" s="472"/>
      <c r="AX49" s="472"/>
      <c r="AY49" s="472"/>
      <c r="AZ49" s="472"/>
      <c r="BA49" s="472"/>
      <c r="BB49" s="472"/>
      <c r="BC49" s="472"/>
      <c r="BD49" s="472"/>
      <c r="BE49" s="472"/>
      <c r="BF49" s="472"/>
      <c r="BG49" s="472"/>
      <c r="BH49" s="472"/>
      <c r="BI49" s="472"/>
      <c r="BJ49" s="472"/>
      <c r="BK49" s="472"/>
      <c r="BL49" s="472"/>
      <c r="BM49" s="472"/>
      <c r="BN49" s="472"/>
      <c r="BO49" s="472"/>
      <c r="BP49" s="472"/>
      <c r="BQ49" s="472"/>
      <c r="BR49" s="472"/>
      <c r="BS49" s="472"/>
      <c r="BT49" s="472"/>
      <c r="BU49" s="472"/>
      <c r="BV49" s="472"/>
      <c r="BW49" s="472"/>
      <c r="BX49" s="472"/>
      <c r="BY49" s="472"/>
      <c r="BZ49" s="472"/>
      <c r="CA49" s="472"/>
      <c r="CB49" s="472"/>
      <c r="CC49" s="472"/>
      <c r="CD49" s="472"/>
      <c r="CE49" s="472"/>
      <c r="CF49" s="472"/>
      <c r="CG49" s="472"/>
      <c r="CH49" s="472"/>
      <c r="CI49" s="472"/>
      <c r="CJ49" s="472"/>
      <c r="CK49" s="472"/>
      <c r="CL49" s="472"/>
      <c r="CM49" s="472"/>
      <c r="CN49" s="472"/>
      <c r="CO49" s="472"/>
      <c r="CP49" s="472"/>
      <c r="CQ49" s="472"/>
      <c r="CR49" s="472"/>
      <c r="CS49" s="472"/>
      <c r="CT49" s="472"/>
      <c r="CU49" s="472"/>
      <c r="CV49" s="472"/>
      <c r="CW49" s="472"/>
      <c r="CX49" s="612"/>
      <c r="CY49" s="472"/>
      <c r="CZ49" s="472"/>
      <c r="DA49" s="472"/>
    </row>
    <row r="50" spans="1:105" s="313" customFormat="1" ht="3" customHeight="1">
      <c r="A50" s="477"/>
      <c r="B50" s="477"/>
      <c r="C50" s="477"/>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J50" s="477"/>
      <c r="AK50" s="477"/>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c r="BJ50" s="477"/>
      <c r="BK50" s="477"/>
      <c r="BL50" s="477"/>
      <c r="BM50" s="477"/>
      <c r="BN50" s="477"/>
      <c r="BO50" s="477"/>
      <c r="BP50" s="477"/>
      <c r="BQ50" s="477"/>
      <c r="BR50" s="477"/>
      <c r="BS50" s="477"/>
      <c r="BT50" s="477"/>
      <c r="BU50" s="477"/>
      <c r="BV50" s="477"/>
      <c r="BW50" s="477"/>
      <c r="BX50" s="477"/>
      <c r="BY50" s="477"/>
      <c r="BZ50" s="477"/>
      <c r="CA50" s="477"/>
      <c r="CB50" s="477"/>
      <c r="CC50" s="477"/>
      <c r="CD50" s="477"/>
      <c r="CE50" s="477"/>
      <c r="CF50" s="477"/>
      <c r="CG50" s="477"/>
      <c r="CH50" s="477"/>
      <c r="CI50" s="477"/>
      <c r="CJ50" s="477"/>
      <c r="CK50" s="477"/>
      <c r="CL50" s="477"/>
      <c r="CM50" s="478"/>
      <c r="CN50" s="472"/>
      <c r="CO50" s="472"/>
      <c r="CP50" s="472"/>
      <c r="CQ50" s="472"/>
      <c r="CR50" s="472"/>
      <c r="CS50" s="472"/>
      <c r="CT50" s="472"/>
      <c r="CU50" s="472"/>
      <c r="CV50" s="472"/>
      <c r="CW50" s="472"/>
      <c r="CX50" s="612"/>
      <c r="CY50" s="472"/>
      <c r="CZ50" s="472"/>
      <c r="DA50" s="472"/>
    </row>
    <row r="51" spans="1:105" s="313" customFormat="1" ht="15.75">
      <c r="A51" s="479" t="s">
        <v>301</v>
      </c>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2"/>
      <c r="AY51" s="472"/>
      <c r="AZ51" s="472"/>
      <c r="BA51" s="472"/>
      <c r="BB51" s="472"/>
      <c r="BC51" s="472"/>
      <c r="BD51" s="472"/>
      <c r="BE51" s="472"/>
      <c r="BF51" s="472"/>
      <c r="BG51" s="472"/>
      <c r="BH51" s="472"/>
      <c r="BI51" s="472"/>
      <c r="BJ51" s="472"/>
      <c r="BK51" s="472"/>
      <c r="BL51" s="472"/>
      <c r="BM51" s="472"/>
      <c r="BN51" s="472"/>
      <c r="BO51" s="472"/>
      <c r="BP51" s="472"/>
      <c r="BQ51" s="472"/>
      <c r="BR51" s="472"/>
      <c r="BS51" s="472"/>
      <c r="BT51" s="472"/>
      <c r="BU51" s="472"/>
      <c r="BV51" s="472"/>
      <c r="BW51" s="472"/>
      <c r="BX51" s="472"/>
      <c r="BY51" s="472"/>
      <c r="BZ51" s="472"/>
      <c r="CA51" s="472"/>
      <c r="CB51" s="472"/>
      <c r="CC51" s="472"/>
      <c r="CD51" s="472"/>
      <c r="CE51" s="472"/>
      <c r="CF51" s="472"/>
      <c r="CG51" s="472"/>
      <c r="CH51" s="472"/>
      <c r="CI51" s="472"/>
      <c r="CJ51" s="472"/>
      <c r="CK51" s="472"/>
      <c r="CL51" s="472"/>
      <c r="CM51" s="480"/>
      <c r="CN51" s="472"/>
      <c r="CO51" s="472"/>
      <c r="CP51" s="472"/>
      <c r="CQ51" s="472"/>
      <c r="CR51" s="472"/>
      <c r="CS51" s="472"/>
      <c r="CT51" s="472"/>
      <c r="CU51" s="472"/>
      <c r="CV51" s="472"/>
      <c r="CW51" s="472"/>
      <c r="CX51" s="612"/>
      <c r="CY51" s="472"/>
      <c r="CZ51" s="472"/>
      <c r="DA51" s="472"/>
    </row>
    <row r="52" spans="1:105" ht="37.5" customHeight="1">
      <c r="A52" s="882" t="s">
        <v>741</v>
      </c>
      <c r="B52" s="883"/>
      <c r="C52" s="883"/>
      <c r="D52" s="883"/>
      <c r="E52" s="883"/>
      <c r="F52" s="883"/>
      <c r="G52" s="883"/>
      <c r="H52" s="883"/>
      <c r="I52" s="883"/>
      <c r="J52" s="883"/>
      <c r="K52" s="883"/>
      <c r="L52" s="883"/>
      <c r="M52" s="883"/>
      <c r="N52" s="883"/>
      <c r="O52" s="883"/>
      <c r="P52" s="883"/>
      <c r="Q52" s="883"/>
      <c r="R52" s="883"/>
      <c r="S52" s="883"/>
      <c r="T52" s="883"/>
      <c r="U52" s="883"/>
      <c r="V52" s="883"/>
      <c r="W52" s="883"/>
      <c r="X52" s="883"/>
      <c r="Y52" s="883"/>
      <c r="Z52" s="883"/>
      <c r="AA52" s="883"/>
      <c r="AB52" s="883"/>
      <c r="AC52" s="883"/>
      <c r="AD52" s="883"/>
      <c r="AE52" s="883"/>
      <c r="AF52" s="883"/>
      <c r="AG52" s="883"/>
      <c r="AH52" s="883"/>
      <c r="AI52" s="883"/>
      <c r="AJ52" s="883"/>
      <c r="AK52" s="883"/>
      <c r="AL52" s="883"/>
      <c r="AM52" s="883"/>
      <c r="AN52" s="883"/>
      <c r="AO52" s="883"/>
      <c r="AP52" s="883"/>
      <c r="AQ52" s="883"/>
      <c r="AR52" s="883"/>
      <c r="AS52" s="883"/>
      <c r="AT52" s="883"/>
      <c r="AU52" s="883"/>
      <c r="AV52" s="883"/>
      <c r="AW52" s="883"/>
      <c r="AX52" s="883"/>
      <c r="AY52" s="883"/>
      <c r="AZ52" s="883"/>
      <c r="BA52" s="883"/>
      <c r="BB52" s="883"/>
      <c r="BC52" s="883"/>
      <c r="BD52" s="883"/>
      <c r="BE52" s="883"/>
      <c r="BF52" s="883"/>
      <c r="BG52" s="883"/>
      <c r="BH52" s="883"/>
      <c r="BI52" s="883"/>
      <c r="BJ52" s="883"/>
      <c r="BK52" s="883"/>
      <c r="BL52" s="883"/>
      <c r="BM52" s="883"/>
      <c r="BN52" s="883"/>
      <c r="BO52" s="883"/>
      <c r="BP52" s="883"/>
      <c r="BQ52" s="883"/>
      <c r="BR52" s="883"/>
      <c r="BS52" s="883"/>
      <c r="BT52" s="883"/>
      <c r="BU52" s="883"/>
      <c r="BV52" s="883"/>
      <c r="BW52" s="883"/>
      <c r="BX52" s="883"/>
      <c r="BY52" s="883"/>
      <c r="BZ52" s="883"/>
      <c r="CA52" s="883"/>
      <c r="CB52" s="883"/>
      <c r="CC52" s="883"/>
      <c r="CD52" s="883"/>
      <c r="CE52" s="883"/>
      <c r="CF52" s="883"/>
      <c r="CG52" s="883"/>
      <c r="CH52" s="883"/>
      <c r="CI52" s="883"/>
      <c r="CJ52" s="883"/>
      <c r="CK52" s="883"/>
      <c r="CL52" s="883"/>
      <c r="CM52" s="884"/>
      <c r="CN52" s="470"/>
      <c r="CO52" s="470"/>
      <c r="CP52" s="470"/>
      <c r="CQ52" s="470"/>
      <c r="CR52" s="470"/>
      <c r="CS52" s="470"/>
      <c r="CT52" s="470"/>
      <c r="CU52" s="470"/>
      <c r="CV52" s="470"/>
      <c r="CW52" s="470"/>
      <c r="CX52" s="611"/>
      <c r="CY52" s="470"/>
      <c r="CZ52" s="470"/>
      <c r="DA52" s="470"/>
    </row>
    <row r="53" spans="1:105" s="113" customFormat="1" ht="15.75">
      <c r="A53" s="869" t="s">
        <v>701</v>
      </c>
      <c r="B53" s="868"/>
      <c r="C53" s="868"/>
      <c r="D53" s="868"/>
      <c r="E53" s="868"/>
      <c r="F53" s="868"/>
      <c r="G53" s="868"/>
      <c r="H53" s="868"/>
      <c r="I53" s="868"/>
      <c r="J53" s="868"/>
      <c r="K53" s="868"/>
      <c r="L53" s="868"/>
      <c r="M53" s="868"/>
      <c r="N53" s="868"/>
      <c r="O53" s="868"/>
      <c r="P53" s="868"/>
      <c r="Q53" s="868"/>
      <c r="R53" s="868"/>
      <c r="S53" s="868"/>
      <c r="T53" s="868"/>
      <c r="U53" s="868"/>
      <c r="V53" s="868"/>
      <c r="W53" s="868"/>
      <c r="X53" s="868"/>
      <c r="Y53" s="868"/>
      <c r="Z53" s="868"/>
      <c r="AA53" s="868"/>
      <c r="AB53" s="868"/>
      <c r="AC53" s="868"/>
      <c r="AD53" s="868"/>
      <c r="AE53" s="868"/>
      <c r="AF53" s="868"/>
      <c r="AG53" s="868"/>
      <c r="AH53" s="868"/>
      <c r="AI53" s="868"/>
      <c r="AJ53" s="868"/>
      <c r="AK53" s="868"/>
      <c r="AL53" s="868"/>
      <c r="AM53" s="868"/>
      <c r="AN53" s="868"/>
      <c r="AO53" s="868"/>
      <c r="AP53" s="868"/>
      <c r="AQ53" s="868"/>
      <c r="AR53" s="868"/>
      <c r="AS53" s="868"/>
      <c r="AT53" s="868"/>
      <c r="AU53" s="868"/>
      <c r="AV53" s="868"/>
      <c r="AW53" s="868"/>
      <c r="AX53" s="868"/>
      <c r="AY53" s="868"/>
      <c r="AZ53" s="868"/>
      <c r="BA53" s="868"/>
      <c r="BB53" s="868"/>
      <c r="BC53" s="868"/>
      <c r="BD53" s="868"/>
      <c r="BE53" s="868"/>
      <c r="BF53" s="868"/>
      <c r="BG53" s="868"/>
      <c r="BH53" s="868"/>
      <c r="BI53" s="868"/>
      <c r="BJ53" s="868"/>
      <c r="BK53" s="868"/>
      <c r="BL53" s="868"/>
      <c r="BM53" s="868"/>
      <c r="BN53" s="868"/>
      <c r="BO53" s="868"/>
      <c r="BP53" s="868"/>
      <c r="BQ53" s="868"/>
      <c r="BR53" s="868"/>
      <c r="BS53" s="868"/>
      <c r="BT53" s="868"/>
      <c r="BU53" s="868"/>
      <c r="BV53" s="868"/>
      <c r="BW53" s="868"/>
      <c r="BX53" s="868"/>
      <c r="BY53" s="868"/>
      <c r="BZ53" s="868"/>
      <c r="CA53" s="868"/>
      <c r="CB53" s="868"/>
      <c r="CC53" s="868"/>
      <c r="CD53" s="868"/>
      <c r="CE53" s="868"/>
      <c r="CF53" s="868"/>
      <c r="CG53" s="868"/>
      <c r="CH53" s="868"/>
      <c r="CI53" s="868"/>
      <c r="CJ53" s="868"/>
      <c r="CK53" s="868"/>
      <c r="CL53" s="868"/>
      <c r="CM53" s="870"/>
      <c r="CN53" s="470"/>
      <c r="CO53" s="470"/>
      <c r="CP53" s="470"/>
      <c r="CQ53" s="470"/>
      <c r="CR53" s="470"/>
      <c r="CS53" s="470"/>
      <c r="CT53" s="470"/>
      <c r="CU53" s="470"/>
      <c r="CV53" s="470"/>
      <c r="CW53" s="470"/>
      <c r="CX53" s="611"/>
      <c r="CY53" s="470"/>
      <c r="CZ53" s="470"/>
      <c r="DA53" s="470"/>
    </row>
    <row r="54" spans="1:105" ht="6" customHeight="1">
      <c r="A54" s="481"/>
      <c r="B54" s="482"/>
      <c r="C54" s="482"/>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482"/>
      <c r="AF54" s="482"/>
      <c r="AG54" s="482"/>
      <c r="AH54" s="482"/>
      <c r="AI54" s="482"/>
      <c r="AJ54" s="482"/>
      <c r="AK54" s="482"/>
      <c r="AL54" s="482"/>
      <c r="AM54" s="482"/>
      <c r="AN54" s="482"/>
      <c r="AO54" s="482"/>
      <c r="AP54" s="482"/>
      <c r="AQ54" s="482"/>
      <c r="AR54" s="482"/>
      <c r="AS54" s="482"/>
      <c r="AT54" s="482"/>
      <c r="AU54" s="482"/>
      <c r="AV54" s="482"/>
      <c r="AW54" s="482"/>
      <c r="AX54" s="482"/>
      <c r="AY54" s="482"/>
      <c r="AZ54" s="482"/>
      <c r="BA54" s="482"/>
      <c r="BB54" s="482"/>
      <c r="BC54" s="482"/>
      <c r="BD54" s="482"/>
      <c r="BE54" s="482"/>
      <c r="BF54" s="482"/>
      <c r="BG54" s="482"/>
      <c r="BH54" s="482"/>
      <c r="BI54" s="482"/>
      <c r="BJ54" s="482"/>
      <c r="BK54" s="482"/>
      <c r="BL54" s="482"/>
      <c r="BM54" s="482"/>
      <c r="BN54" s="482"/>
      <c r="BO54" s="482"/>
      <c r="BP54" s="482"/>
      <c r="BQ54" s="482"/>
      <c r="BR54" s="482"/>
      <c r="BS54" s="482"/>
      <c r="BT54" s="482"/>
      <c r="BU54" s="482"/>
      <c r="BV54" s="482"/>
      <c r="BW54" s="482"/>
      <c r="BX54" s="482"/>
      <c r="BY54" s="482"/>
      <c r="BZ54" s="482"/>
      <c r="CA54" s="482"/>
      <c r="CB54" s="482"/>
      <c r="CC54" s="482"/>
      <c r="CD54" s="482"/>
      <c r="CE54" s="482"/>
      <c r="CF54" s="482"/>
      <c r="CG54" s="482"/>
      <c r="CH54" s="482"/>
      <c r="CI54" s="482"/>
      <c r="CJ54" s="482"/>
      <c r="CK54" s="482"/>
      <c r="CL54" s="482"/>
      <c r="CM54" s="483"/>
      <c r="CN54" s="470"/>
      <c r="CO54" s="470"/>
      <c r="CP54" s="470"/>
      <c r="CQ54" s="470"/>
      <c r="CR54" s="470"/>
      <c r="CS54" s="470"/>
      <c r="CT54" s="470"/>
      <c r="CU54" s="470"/>
      <c r="CV54" s="470"/>
      <c r="CW54" s="470"/>
      <c r="CX54" s="611"/>
      <c r="CY54" s="470"/>
      <c r="CZ54" s="470"/>
      <c r="DA54" s="470"/>
    </row>
    <row r="55" spans="1:105" ht="15.75">
      <c r="A55" s="885"/>
      <c r="B55" s="886"/>
      <c r="C55" s="886"/>
      <c r="D55" s="886"/>
      <c r="E55" s="886"/>
      <c r="F55" s="886"/>
      <c r="G55" s="886"/>
      <c r="H55" s="886"/>
      <c r="I55" s="886"/>
      <c r="J55" s="886"/>
      <c r="K55" s="886"/>
      <c r="L55" s="886"/>
      <c r="M55" s="886"/>
      <c r="N55" s="886"/>
      <c r="O55" s="886"/>
      <c r="P55" s="886"/>
      <c r="Q55" s="886"/>
      <c r="R55" s="886"/>
      <c r="S55" s="886"/>
      <c r="T55" s="886"/>
      <c r="U55" s="886"/>
      <c r="V55" s="886"/>
      <c r="W55" s="886"/>
      <c r="X55" s="886"/>
      <c r="Y55" s="886"/>
      <c r="Z55" s="470"/>
      <c r="AA55" s="470"/>
      <c r="AB55" s="470"/>
      <c r="AC55" s="470"/>
      <c r="AD55" s="470"/>
      <c r="AE55" s="470"/>
      <c r="AF55" s="470"/>
      <c r="AG55" s="470"/>
      <c r="AH55" s="887" t="s">
        <v>742</v>
      </c>
      <c r="AI55" s="887"/>
      <c r="AJ55" s="887"/>
      <c r="AK55" s="887"/>
      <c r="AL55" s="887"/>
      <c r="AM55" s="887"/>
      <c r="AN55" s="887"/>
      <c r="AO55" s="887"/>
      <c r="AP55" s="887"/>
      <c r="AQ55" s="887"/>
      <c r="AR55" s="887"/>
      <c r="AS55" s="887"/>
      <c r="AT55" s="887"/>
      <c r="AU55" s="887"/>
      <c r="AV55" s="887"/>
      <c r="AW55" s="887"/>
      <c r="AX55" s="887"/>
      <c r="AY55" s="887"/>
      <c r="AZ55" s="887"/>
      <c r="BA55" s="887"/>
      <c r="BB55" s="887"/>
      <c r="BC55" s="887"/>
      <c r="BD55" s="887"/>
      <c r="BE55" s="887"/>
      <c r="BF55" s="887"/>
      <c r="BG55" s="887"/>
      <c r="BH55" s="887"/>
      <c r="BI55" s="887"/>
      <c r="BJ55" s="887"/>
      <c r="BK55" s="887"/>
      <c r="BL55" s="887"/>
      <c r="BM55" s="887"/>
      <c r="BN55" s="887"/>
      <c r="BO55" s="887"/>
      <c r="BP55" s="887"/>
      <c r="BQ55" s="887"/>
      <c r="BR55" s="887"/>
      <c r="BS55" s="887"/>
      <c r="BT55" s="887"/>
      <c r="BU55" s="887"/>
      <c r="BV55" s="887"/>
      <c r="BW55" s="887"/>
      <c r="BX55" s="887"/>
      <c r="BY55" s="887"/>
      <c r="BZ55" s="887"/>
      <c r="CA55" s="887"/>
      <c r="CB55" s="887"/>
      <c r="CC55" s="887"/>
      <c r="CD55" s="887"/>
      <c r="CE55" s="887"/>
      <c r="CF55" s="887"/>
      <c r="CG55" s="887"/>
      <c r="CH55" s="887"/>
      <c r="CI55" s="887"/>
      <c r="CJ55" s="887"/>
      <c r="CK55" s="887"/>
      <c r="CL55" s="887"/>
      <c r="CM55" s="888"/>
      <c r="CN55" s="470"/>
      <c r="CO55" s="470"/>
      <c r="CP55" s="470"/>
      <c r="CQ55" s="470"/>
      <c r="CR55" s="470"/>
      <c r="CS55" s="470"/>
      <c r="CT55" s="470"/>
      <c r="CU55" s="470"/>
      <c r="CV55" s="470"/>
      <c r="CW55" s="470"/>
      <c r="CX55" s="611"/>
      <c r="CY55" s="470"/>
      <c r="CZ55" s="470"/>
      <c r="DA55" s="470"/>
    </row>
    <row r="56" spans="1:105" s="113" customFormat="1" ht="15.75">
      <c r="A56" s="869" t="s">
        <v>305</v>
      </c>
      <c r="B56" s="868"/>
      <c r="C56" s="868"/>
      <c r="D56" s="868"/>
      <c r="E56" s="868"/>
      <c r="F56" s="868"/>
      <c r="G56" s="868"/>
      <c r="H56" s="868"/>
      <c r="I56" s="868"/>
      <c r="J56" s="868"/>
      <c r="K56" s="868"/>
      <c r="L56" s="868"/>
      <c r="M56" s="868"/>
      <c r="N56" s="868"/>
      <c r="O56" s="868"/>
      <c r="P56" s="868"/>
      <c r="Q56" s="868"/>
      <c r="R56" s="868"/>
      <c r="S56" s="868"/>
      <c r="T56" s="868"/>
      <c r="U56" s="868"/>
      <c r="V56" s="868"/>
      <c r="W56" s="868"/>
      <c r="X56" s="868"/>
      <c r="Y56" s="868"/>
      <c r="Z56" s="470"/>
      <c r="AA56" s="470"/>
      <c r="AB56" s="470"/>
      <c r="AC56" s="470"/>
      <c r="AD56" s="470"/>
      <c r="AE56" s="470"/>
      <c r="AF56" s="470"/>
      <c r="AG56" s="470"/>
      <c r="AH56" s="868" t="s">
        <v>199</v>
      </c>
      <c r="AI56" s="868"/>
      <c r="AJ56" s="868"/>
      <c r="AK56" s="868"/>
      <c r="AL56" s="868"/>
      <c r="AM56" s="868"/>
      <c r="AN56" s="868"/>
      <c r="AO56" s="868"/>
      <c r="AP56" s="868"/>
      <c r="AQ56" s="868"/>
      <c r="AR56" s="868"/>
      <c r="AS56" s="868"/>
      <c r="AT56" s="868"/>
      <c r="AU56" s="868"/>
      <c r="AV56" s="868"/>
      <c r="AW56" s="868"/>
      <c r="AX56" s="868"/>
      <c r="AY56" s="868"/>
      <c r="AZ56" s="868"/>
      <c r="BA56" s="868"/>
      <c r="BB56" s="868"/>
      <c r="BC56" s="868"/>
      <c r="BD56" s="868"/>
      <c r="BE56" s="868"/>
      <c r="BF56" s="868"/>
      <c r="BG56" s="868"/>
      <c r="BH56" s="868"/>
      <c r="BI56" s="868"/>
      <c r="BJ56" s="868"/>
      <c r="BK56" s="868"/>
      <c r="BL56" s="868"/>
      <c r="BM56" s="868"/>
      <c r="BN56" s="868"/>
      <c r="BO56" s="868"/>
      <c r="BP56" s="868"/>
      <c r="BQ56" s="868"/>
      <c r="BR56" s="868"/>
      <c r="BS56" s="868"/>
      <c r="BT56" s="868"/>
      <c r="BU56" s="868"/>
      <c r="BV56" s="868"/>
      <c r="BW56" s="868"/>
      <c r="BX56" s="868"/>
      <c r="BY56" s="868"/>
      <c r="BZ56" s="868"/>
      <c r="CA56" s="868"/>
      <c r="CB56" s="868"/>
      <c r="CC56" s="868"/>
      <c r="CD56" s="868"/>
      <c r="CE56" s="868"/>
      <c r="CF56" s="868"/>
      <c r="CG56" s="868"/>
      <c r="CH56" s="868"/>
      <c r="CI56" s="868"/>
      <c r="CJ56" s="868"/>
      <c r="CK56" s="868"/>
      <c r="CL56" s="868"/>
      <c r="CM56" s="870"/>
      <c r="CN56" s="470"/>
      <c r="CO56" s="470"/>
      <c r="CP56" s="470"/>
      <c r="CQ56" s="470"/>
      <c r="CR56" s="470"/>
      <c r="CS56" s="470"/>
      <c r="CT56" s="470"/>
      <c r="CU56" s="470"/>
      <c r="CV56" s="470"/>
      <c r="CW56" s="470"/>
      <c r="CX56" s="611"/>
      <c r="CY56" s="470"/>
      <c r="CZ56" s="470"/>
      <c r="DA56" s="470"/>
    </row>
    <row r="57" spans="1:105" ht="10.15" customHeight="1">
      <c r="A57" s="484"/>
      <c r="B57" s="470"/>
      <c r="C57" s="470"/>
      <c r="D57" s="470"/>
      <c r="E57" s="470"/>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470"/>
      <c r="AK57" s="470"/>
      <c r="AL57" s="470"/>
      <c r="AM57" s="470"/>
      <c r="AN57" s="470"/>
      <c r="AO57" s="470"/>
      <c r="AP57" s="470"/>
      <c r="AQ57" s="470"/>
      <c r="AR57" s="470"/>
      <c r="AS57" s="470"/>
      <c r="AT57" s="470"/>
      <c r="AU57" s="470"/>
      <c r="AV57" s="470"/>
      <c r="AW57" s="470"/>
      <c r="AX57" s="470"/>
      <c r="AY57" s="470"/>
      <c r="AZ57" s="470"/>
      <c r="BA57" s="470"/>
      <c r="BB57" s="470"/>
      <c r="BC57" s="470"/>
      <c r="BD57" s="470"/>
      <c r="BE57" s="470"/>
      <c r="BF57" s="470"/>
      <c r="BG57" s="470"/>
      <c r="BH57" s="470"/>
      <c r="BI57" s="470"/>
      <c r="BJ57" s="470"/>
      <c r="BK57" s="470"/>
      <c r="BL57" s="470"/>
      <c r="BM57" s="470"/>
      <c r="BN57" s="470"/>
      <c r="BO57" s="470"/>
      <c r="BP57" s="470"/>
      <c r="BQ57" s="470"/>
      <c r="BR57" s="470"/>
      <c r="BS57" s="470"/>
      <c r="BT57" s="470"/>
      <c r="BU57" s="470"/>
      <c r="BV57" s="470"/>
      <c r="BW57" s="470"/>
      <c r="BX57" s="470"/>
      <c r="BY57" s="470"/>
      <c r="BZ57" s="470"/>
      <c r="CA57" s="470"/>
      <c r="CB57" s="470"/>
      <c r="CC57" s="470"/>
      <c r="CD57" s="470"/>
      <c r="CE57" s="470"/>
      <c r="CF57" s="470"/>
      <c r="CG57" s="470"/>
      <c r="CH57" s="470"/>
      <c r="CI57" s="470"/>
      <c r="CJ57" s="470"/>
      <c r="CK57" s="470"/>
      <c r="CL57" s="470"/>
      <c r="CM57" s="485"/>
      <c r="CN57" s="470"/>
      <c r="CO57" s="470"/>
      <c r="CP57" s="470"/>
      <c r="CQ57" s="470"/>
      <c r="CR57" s="470"/>
      <c r="CS57" s="470"/>
      <c r="CT57" s="470"/>
      <c r="CU57" s="470"/>
      <c r="CV57" s="470"/>
      <c r="CW57" s="470"/>
      <c r="CX57" s="611"/>
      <c r="CY57" s="470"/>
      <c r="CZ57" s="470"/>
      <c r="DA57" s="470"/>
    </row>
    <row r="58" spans="1:105" s="113" customFormat="1" ht="15.75">
      <c r="A58" s="871" t="s">
        <v>297</v>
      </c>
      <c r="B58" s="872"/>
      <c r="C58" s="833"/>
      <c r="D58" s="833"/>
      <c r="E58" s="833"/>
      <c r="F58" s="873" t="s">
        <v>297</v>
      </c>
      <c r="G58" s="873"/>
      <c r="H58" s="470"/>
      <c r="I58" s="833"/>
      <c r="J58" s="833"/>
      <c r="K58" s="833"/>
      <c r="L58" s="833"/>
      <c r="M58" s="833"/>
      <c r="N58" s="833"/>
      <c r="O58" s="833"/>
      <c r="P58" s="833"/>
      <c r="Q58" s="833"/>
      <c r="R58" s="833"/>
      <c r="S58" s="833"/>
      <c r="T58" s="833"/>
      <c r="U58" s="833"/>
      <c r="V58" s="833"/>
      <c r="W58" s="833"/>
      <c r="X58" s="874">
        <v>20</v>
      </c>
      <c r="Y58" s="874"/>
      <c r="Z58" s="874"/>
      <c r="AA58" s="875" t="s">
        <v>831</v>
      </c>
      <c r="AB58" s="875"/>
      <c r="AC58" s="875"/>
      <c r="AD58" s="498" t="s">
        <v>300</v>
      </c>
      <c r="AE58" s="28"/>
      <c r="AF58" s="28"/>
      <c r="AG58" s="470"/>
      <c r="AH58" s="470"/>
      <c r="AI58" s="470"/>
      <c r="AJ58" s="470"/>
      <c r="AK58" s="470"/>
      <c r="AL58" s="470"/>
      <c r="AM58" s="470"/>
      <c r="AN58" s="470"/>
      <c r="AO58" s="470"/>
      <c r="AP58" s="470"/>
      <c r="AQ58" s="470"/>
      <c r="AR58" s="470"/>
      <c r="AS58" s="470"/>
      <c r="AT58" s="470"/>
      <c r="AU58" s="470"/>
      <c r="AV58" s="470"/>
      <c r="AW58" s="470"/>
      <c r="AX58" s="470"/>
      <c r="AY58" s="470"/>
      <c r="AZ58" s="470"/>
      <c r="BA58" s="470"/>
      <c r="BB58" s="470"/>
      <c r="BC58" s="470"/>
      <c r="BD58" s="470"/>
      <c r="BE58" s="470"/>
      <c r="BF58" s="470"/>
      <c r="BG58" s="470"/>
      <c r="BH58" s="470"/>
      <c r="BI58" s="470"/>
      <c r="BJ58" s="470"/>
      <c r="BK58" s="470"/>
      <c r="BL58" s="470"/>
      <c r="BM58" s="470"/>
      <c r="BN58" s="470"/>
      <c r="BO58" s="470"/>
      <c r="BP58" s="470"/>
      <c r="BQ58" s="470"/>
      <c r="BR58" s="470"/>
      <c r="BS58" s="470"/>
      <c r="BT58" s="470"/>
      <c r="BU58" s="470"/>
      <c r="BV58" s="470"/>
      <c r="BW58" s="470"/>
      <c r="BX58" s="470"/>
      <c r="BY58" s="470"/>
      <c r="BZ58" s="470"/>
      <c r="CA58" s="470"/>
      <c r="CB58" s="470"/>
      <c r="CC58" s="470"/>
      <c r="CD58" s="470"/>
      <c r="CE58" s="470"/>
      <c r="CF58" s="470"/>
      <c r="CG58" s="470"/>
      <c r="CH58" s="470"/>
      <c r="CI58" s="470"/>
      <c r="CJ58" s="470"/>
      <c r="CK58" s="470"/>
      <c r="CL58" s="470"/>
      <c r="CM58" s="485"/>
      <c r="CN58" s="470"/>
      <c r="CO58" s="470"/>
      <c r="CP58" s="470"/>
      <c r="CQ58" s="470"/>
      <c r="CR58" s="470"/>
      <c r="CS58" s="470"/>
      <c r="CT58" s="470"/>
      <c r="CU58" s="470"/>
      <c r="CV58" s="470"/>
      <c r="CW58" s="470"/>
      <c r="CX58" s="611"/>
      <c r="CY58" s="470"/>
      <c r="CZ58" s="470"/>
      <c r="DA58" s="470"/>
    </row>
    <row r="59" spans="1:105" ht="3" customHeight="1">
      <c r="A59" s="87"/>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9"/>
    </row>
    <row r="74" spans="4:102" ht="79.5" customHeight="1"/>
    <row r="75" spans="4:102" ht="10.15" customHeight="1">
      <c r="D75" s="306"/>
    </row>
    <row r="76" spans="4:102" ht="10.15" customHeight="1">
      <c r="D76" s="286"/>
    </row>
    <row r="77" spans="4:102" s="302" customFormat="1" ht="10.15" hidden="1" customHeight="1">
      <c r="CX77" s="613"/>
    </row>
    <row r="78" spans="4:102" s="302" customFormat="1" ht="10.15" hidden="1" customHeight="1">
      <c r="CX78" s="613"/>
    </row>
    <row r="79" spans="4:102" s="302" customFormat="1" ht="10.15" hidden="1" customHeight="1">
      <c r="CX79" s="613"/>
    </row>
    <row r="99" spans="4:102" ht="10.15" customHeight="1">
      <c r="D99" s="307" t="s">
        <v>711</v>
      </c>
      <c r="E99" s="306"/>
    </row>
    <row r="100" spans="4:102" s="302" customFormat="1" ht="10.15" hidden="1" customHeight="1">
      <c r="CX100" s="613"/>
    </row>
    <row r="101" spans="4:102" s="302" customFormat="1" ht="10.15" hidden="1" customHeight="1">
      <c r="CX101" s="613"/>
    </row>
    <row r="102" spans="4:102" s="302" customFormat="1" ht="10.15" hidden="1" customHeight="1">
      <c r="CX102" s="613"/>
    </row>
    <row r="103" spans="4:102" s="302" customFormat="1" ht="10.15" hidden="1" customHeight="1">
      <c r="CX103" s="613"/>
    </row>
    <row r="104" spans="4:102" s="302" customFormat="1" ht="10.15" hidden="1" customHeight="1">
      <c r="CX104" s="613"/>
    </row>
    <row r="105" spans="4:102" s="302" customFormat="1" ht="10.15" hidden="1" customHeight="1">
      <c r="CX105" s="613"/>
    </row>
    <row r="106" spans="4:102" s="302" customFormat="1" ht="10.15" hidden="1" customHeight="1">
      <c r="CX106" s="613"/>
    </row>
    <row r="107" spans="4:102" s="302" customFormat="1" ht="10.15" hidden="1" customHeight="1">
      <c r="CX107" s="613"/>
    </row>
    <row r="108" spans="4:102" s="302" customFormat="1" ht="10.15" hidden="1" customHeight="1">
      <c r="CX108" s="613"/>
    </row>
  </sheetData>
  <mergeCells count="13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B1:DA1"/>
    <mergeCell ref="A3:H5"/>
    <mergeCell ref="I3:CM5"/>
    <mergeCell ref="CN3:CU5"/>
    <mergeCell ref="CV3:CV5"/>
    <mergeCell ref="CW3:CW5"/>
    <mergeCell ref="CX3:DA3"/>
    <mergeCell ref="DA4:DA5"/>
    <mergeCell ref="A6:H6"/>
    <mergeCell ref="I6:CM6"/>
    <mergeCell ref="CN6:CU6"/>
    <mergeCell ref="A8:H8"/>
    <mergeCell ref="I8:CM8"/>
    <mergeCell ref="CN8:CU8"/>
    <mergeCell ref="A9:H9"/>
    <mergeCell ref="I9:CM9"/>
    <mergeCell ref="CN9:CU9"/>
    <mergeCell ref="A10:H10"/>
    <mergeCell ref="I10:CM10"/>
    <mergeCell ref="CN10:CU10"/>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17:H17"/>
    <mergeCell ref="I17:CM17"/>
    <mergeCell ref="CN17:CU17"/>
    <mergeCell ref="A18:H18"/>
    <mergeCell ref="I18:CM18"/>
    <mergeCell ref="CN18:CU18"/>
    <mergeCell ref="A19:H19"/>
    <mergeCell ref="I19:CM19"/>
    <mergeCell ref="CN19:CU19"/>
    <mergeCell ref="A20:H20"/>
    <mergeCell ref="I20:CM20"/>
    <mergeCell ref="CN20:CU20"/>
    <mergeCell ref="A22:H22"/>
    <mergeCell ref="I22:CM22"/>
    <mergeCell ref="CN22:CU22"/>
    <mergeCell ref="A23:H23"/>
    <mergeCell ref="I23:CM23"/>
    <mergeCell ref="CN23:CU23"/>
    <mergeCell ref="A21:H21"/>
    <mergeCell ref="I21:CM21"/>
    <mergeCell ref="CN21:CU21"/>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39:H39"/>
    <mergeCell ref="I39:CM39"/>
    <mergeCell ref="CN39:CU39"/>
    <mergeCell ref="AQ42:BH42"/>
    <mergeCell ref="BK42:BV42"/>
    <mergeCell ref="BY42:CR42"/>
    <mergeCell ref="AQ43:BH43"/>
    <mergeCell ref="BK43:BV43"/>
    <mergeCell ref="BY43:CR43"/>
    <mergeCell ref="AM45:BD45"/>
    <mergeCell ref="BG45:BX45"/>
    <mergeCell ref="CA45:CR45"/>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s>
  <pageMargins left="0.78740157480314965" right="0.39370078740157483" top="0.78740157480314965" bottom="0.39370078740157483" header="0.31496062992125984" footer="0.31496062992125984"/>
  <pageSetup paperSize="9" scale="44" fitToHeight="2" orientation="portrait" horizontalDpi="4294967295" verticalDpi="4294967295" r:id="rId1"/>
  <rowBreaks count="1" manualBreakCount="1">
    <brk id="37" max="10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pageSetUpPr fitToPage="1"/>
  </sheetPr>
  <dimension ref="A1:Q275"/>
  <sheetViews>
    <sheetView view="pageBreakPreview" topLeftCell="A56" zoomScale="70" zoomScaleNormal="85" zoomScaleSheetLayoutView="70" workbookViewId="0">
      <selection activeCell="X42" sqref="X42"/>
    </sheetView>
  </sheetViews>
  <sheetFormatPr defaultRowHeight="12.75"/>
  <cols>
    <col min="1" max="1" width="6.85546875" style="167" bestFit="1" customWidth="1"/>
    <col min="2" max="2" width="18.42578125" style="167" bestFit="1" customWidth="1"/>
    <col min="3" max="3" width="10.7109375" style="167" bestFit="1" customWidth="1"/>
    <col min="4" max="4" width="10.5703125" style="167" bestFit="1" customWidth="1"/>
    <col min="5" max="6" width="10" style="167" bestFit="1" customWidth="1"/>
    <col min="7" max="7" width="11.28515625" style="167" bestFit="1" customWidth="1"/>
    <col min="8" max="8" width="9.85546875" style="167" bestFit="1" customWidth="1"/>
    <col min="9" max="9" width="13.140625" style="167" bestFit="1" customWidth="1"/>
    <col min="10" max="10" width="12.85546875" style="167" bestFit="1" customWidth="1"/>
    <col min="11" max="11" width="13.85546875" style="167" bestFit="1" customWidth="1"/>
    <col min="12" max="12" width="10.28515625" style="167" bestFit="1" customWidth="1"/>
    <col min="13" max="13" width="13.5703125" style="167" bestFit="1" customWidth="1"/>
    <col min="14" max="14" width="14.140625" style="167" bestFit="1" customWidth="1"/>
    <col min="15" max="15" width="12.28515625" style="167" bestFit="1" customWidth="1"/>
    <col min="16" max="16" width="11.140625" style="167" bestFit="1" customWidth="1"/>
    <col min="17" max="17" width="9.140625" style="167" bestFit="1"/>
    <col min="18" max="16384" width="9.140625" style="167"/>
  </cols>
  <sheetData>
    <row r="1" spans="1:17" hidden="1">
      <c r="A1" s="138" t="s">
        <v>525</v>
      </c>
    </row>
    <row r="2" spans="1:17" ht="25.5" hidden="1" customHeight="1">
      <c r="A2" s="848" t="s">
        <v>307</v>
      </c>
      <c r="B2" s="848" t="s">
        <v>10</v>
      </c>
      <c r="C2" s="848" t="s">
        <v>495</v>
      </c>
      <c r="D2" s="848"/>
      <c r="E2" s="848"/>
      <c r="F2" s="848"/>
      <c r="G2" s="848" t="s">
        <v>496</v>
      </c>
      <c r="H2" s="848"/>
      <c r="I2" s="848"/>
      <c r="J2" s="848"/>
      <c r="K2" s="848" t="s">
        <v>497</v>
      </c>
      <c r="L2" s="848"/>
      <c r="M2" s="848"/>
      <c r="N2" s="848"/>
    </row>
    <row r="3" spans="1:17" ht="38.25" hidden="1">
      <c r="A3" s="848"/>
      <c r="B3" s="848"/>
      <c r="C3" s="848" t="s">
        <v>526</v>
      </c>
      <c r="D3" s="848" t="s">
        <v>527</v>
      </c>
      <c r="E3" s="119" t="s">
        <v>528</v>
      </c>
      <c r="F3" s="848" t="s">
        <v>529</v>
      </c>
      <c r="G3" s="848" t="s">
        <v>526</v>
      </c>
      <c r="H3" s="848" t="s">
        <v>527</v>
      </c>
      <c r="I3" s="119" t="s">
        <v>528</v>
      </c>
      <c r="J3" s="848" t="s">
        <v>529</v>
      </c>
      <c r="K3" s="848" t="s">
        <v>526</v>
      </c>
      <c r="L3" s="848" t="s">
        <v>527</v>
      </c>
      <c r="M3" s="119" t="s">
        <v>530</v>
      </c>
      <c r="N3" s="848" t="s">
        <v>529</v>
      </c>
    </row>
    <row r="4" spans="1:17" ht="25.5" hidden="1">
      <c r="A4" s="848"/>
      <c r="B4" s="848"/>
      <c r="C4" s="848"/>
      <c r="D4" s="848"/>
      <c r="E4" s="119" t="s">
        <v>531</v>
      </c>
      <c r="F4" s="848"/>
      <c r="G4" s="848"/>
      <c r="H4" s="848"/>
      <c r="I4" s="119" t="s">
        <v>531</v>
      </c>
      <c r="J4" s="848"/>
      <c r="K4" s="848"/>
      <c r="L4" s="848"/>
      <c r="M4" s="119" t="s">
        <v>531</v>
      </c>
      <c r="N4" s="848"/>
    </row>
    <row r="5" spans="1:17" hidden="1">
      <c r="A5" s="144"/>
      <c r="B5" s="144"/>
      <c r="C5" s="154"/>
      <c r="D5" s="154"/>
      <c r="E5" s="154"/>
      <c r="F5" s="154"/>
      <c r="G5" s="154"/>
      <c r="H5" s="154"/>
      <c r="I5" s="154"/>
      <c r="J5" s="154"/>
      <c r="K5" s="154"/>
      <c r="L5" s="154"/>
      <c r="M5" s="154"/>
      <c r="N5" s="154"/>
    </row>
    <row r="6" spans="1:17">
      <c r="A6" s="138" t="s">
        <v>532</v>
      </c>
    </row>
    <row r="8" spans="1:17">
      <c r="A8" s="138" t="s">
        <v>533</v>
      </c>
    </row>
    <row r="9" spans="1:17">
      <c r="Q9" s="167" t="s">
        <v>534</v>
      </c>
    </row>
    <row r="10" spans="1:17" s="168" customFormat="1" ht="20.25" hidden="1" customHeight="1">
      <c r="A10" s="138" t="s">
        <v>456</v>
      </c>
    </row>
    <row r="11" spans="1:17" ht="20.25" hidden="1" customHeight="1">
      <c r="A11" s="138" t="s">
        <v>457</v>
      </c>
    </row>
    <row r="12" spans="1:17" hidden="1">
      <c r="A12" s="138" t="s">
        <v>458</v>
      </c>
    </row>
    <row r="13" spans="1:17" hidden="1">
      <c r="A13" s="139" t="s">
        <v>535</v>
      </c>
    </row>
    <row r="14" spans="1:17" ht="25.5" hidden="1" customHeight="1">
      <c r="A14" s="848" t="s">
        <v>307</v>
      </c>
      <c r="B14" s="848" t="s">
        <v>10</v>
      </c>
      <c r="C14" s="848" t="s">
        <v>434</v>
      </c>
      <c r="D14" s="848"/>
      <c r="E14" s="848"/>
      <c r="F14" s="848"/>
      <c r="G14" s="848" t="s">
        <v>435</v>
      </c>
      <c r="H14" s="848"/>
      <c r="I14" s="848"/>
      <c r="J14" s="848"/>
      <c r="K14" s="848" t="s">
        <v>436</v>
      </c>
      <c r="L14" s="848"/>
      <c r="M14" s="848"/>
      <c r="N14" s="848"/>
    </row>
    <row r="15" spans="1:17" ht="25.5" hidden="1">
      <c r="A15" s="848"/>
      <c r="B15" s="848"/>
      <c r="C15" s="848" t="s">
        <v>536</v>
      </c>
      <c r="D15" s="848" t="s">
        <v>537</v>
      </c>
      <c r="E15" s="848" t="s">
        <v>538</v>
      </c>
      <c r="F15" s="848" t="s">
        <v>468</v>
      </c>
      <c r="G15" s="848" t="s">
        <v>536</v>
      </c>
      <c r="H15" s="119" t="s">
        <v>539</v>
      </c>
      <c r="I15" s="848" t="s">
        <v>538</v>
      </c>
      <c r="J15" s="848" t="s">
        <v>468</v>
      </c>
      <c r="K15" s="848" t="s">
        <v>536</v>
      </c>
      <c r="L15" s="119" t="s">
        <v>539</v>
      </c>
      <c r="M15" s="848" t="s">
        <v>538</v>
      </c>
      <c r="N15" s="848" t="s">
        <v>468</v>
      </c>
    </row>
    <row r="16" spans="1:17" ht="25.5" hidden="1">
      <c r="A16" s="848"/>
      <c r="B16" s="848"/>
      <c r="C16" s="848"/>
      <c r="D16" s="848"/>
      <c r="E16" s="848"/>
      <c r="F16" s="848"/>
      <c r="G16" s="848"/>
      <c r="H16" s="119" t="s">
        <v>540</v>
      </c>
      <c r="I16" s="848"/>
      <c r="J16" s="848"/>
      <c r="K16" s="848"/>
      <c r="L16" s="119" t="s">
        <v>540</v>
      </c>
      <c r="M16" s="848"/>
      <c r="N16" s="848"/>
    </row>
    <row r="17" spans="1:17" ht="25.5" hidden="1">
      <c r="A17" s="119">
        <v>1</v>
      </c>
      <c r="B17" s="144" t="s">
        <v>541</v>
      </c>
      <c r="C17" s="182" t="s">
        <v>542</v>
      </c>
      <c r="D17" s="119">
        <v>0</v>
      </c>
      <c r="E17" s="119">
        <v>0</v>
      </c>
      <c r="F17" s="137">
        <v>0</v>
      </c>
      <c r="G17" s="119">
        <v>2512.1</v>
      </c>
      <c r="H17" s="119">
        <v>0.41</v>
      </c>
      <c r="I17" s="119">
        <v>0</v>
      </c>
      <c r="J17" s="137">
        <v>0</v>
      </c>
      <c r="K17" s="119">
        <v>2512.1</v>
      </c>
      <c r="L17" s="119">
        <v>0</v>
      </c>
      <c r="M17" s="119">
        <v>0</v>
      </c>
      <c r="N17" s="137">
        <f t="shared" ref="N17:N18" si="0">K17*L17*M17</f>
        <v>0</v>
      </c>
    </row>
    <row r="18" spans="1:17" ht="25.5" hidden="1">
      <c r="A18" s="119">
        <v>2</v>
      </c>
      <c r="B18" s="144" t="s">
        <v>543</v>
      </c>
      <c r="C18" s="182" t="s">
        <v>542</v>
      </c>
      <c r="D18" s="119">
        <v>0</v>
      </c>
      <c r="E18" s="119">
        <v>0</v>
      </c>
      <c r="F18" s="137">
        <v>0</v>
      </c>
      <c r="G18" s="119">
        <v>2512.1</v>
      </c>
      <c r="H18" s="119">
        <v>0.46</v>
      </c>
      <c r="I18" s="119">
        <v>0</v>
      </c>
      <c r="J18" s="137">
        <v>0</v>
      </c>
      <c r="K18" s="119">
        <v>2512.1</v>
      </c>
      <c r="L18" s="119">
        <v>0</v>
      </c>
      <c r="M18" s="119">
        <v>0</v>
      </c>
      <c r="N18" s="137">
        <f t="shared" si="0"/>
        <v>0</v>
      </c>
    </row>
    <row r="19" spans="1:17" hidden="1">
      <c r="A19" s="119"/>
      <c r="B19" s="173" t="s">
        <v>475</v>
      </c>
      <c r="C19" s="119" t="s">
        <v>32</v>
      </c>
      <c r="D19" s="119" t="s">
        <v>32</v>
      </c>
      <c r="E19" s="119" t="s">
        <v>32</v>
      </c>
      <c r="F19" s="183">
        <f>SUM(F17:F18)</f>
        <v>0</v>
      </c>
      <c r="G19" s="119" t="s">
        <v>32</v>
      </c>
      <c r="H19" s="119" t="s">
        <v>32</v>
      </c>
      <c r="I19" s="119" t="s">
        <v>32</v>
      </c>
      <c r="J19" s="137">
        <f>SUM(J17:J18)</f>
        <v>0</v>
      </c>
      <c r="K19" s="119" t="s">
        <v>32</v>
      </c>
      <c r="L19" s="119" t="s">
        <v>32</v>
      </c>
      <c r="M19" s="119" t="s">
        <v>32</v>
      </c>
      <c r="N19" s="137">
        <f>SUM(N17:N18)</f>
        <v>0</v>
      </c>
    </row>
    <row r="20" spans="1:17" hidden="1"/>
    <row r="21" spans="1:17">
      <c r="A21" s="138" t="s">
        <v>544</v>
      </c>
    </row>
    <row r="23" spans="1:17" s="168" customFormat="1">
      <c r="A23" s="140" t="s">
        <v>456</v>
      </c>
    </row>
    <row r="24" spans="1:17" ht="18.75" customHeight="1">
      <c r="A24" s="138" t="s">
        <v>457</v>
      </c>
    </row>
    <row r="25" spans="1:17" ht="13.5" customHeight="1">
      <c r="A25" s="138" t="s">
        <v>458</v>
      </c>
    </row>
    <row r="26" spans="1:17">
      <c r="A26" s="139" t="s">
        <v>535</v>
      </c>
    </row>
    <row r="27" spans="1:17" ht="25.5" customHeight="1">
      <c r="A27" s="967" t="s">
        <v>307</v>
      </c>
      <c r="B27" s="967" t="s">
        <v>10</v>
      </c>
      <c r="C27" s="967" t="s">
        <v>545</v>
      </c>
      <c r="D27" s="967" t="s">
        <v>744</v>
      </c>
      <c r="E27" s="967"/>
      <c r="F27" s="967"/>
      <c r="G27" s="967"/>
      <c r="H27" s="967" t="s">
        <v>745</v>
      </c>
      <c r="I27" s="967"/>
      <c r="J27" s="967"/>
      <c r="K27" s="967"/>
      <c r="L27" s="967" t="s">
        <v>746</v>
      </c>
      <c r="M27" s="967"/>
      <c r="N27" s="967"/>
      <c r="O27" s="967"/>
    </row>
    <row r="28" spans="1:17" ht="25.5">
      <c r="A28" s="967"/>
      <c r="B28" s="967"/>
      <c r="C28" s="967"/>
      <c r="D28" s="375" t="s">
        <v>546</v>
      </c>
      <c r="E28" s="375" t="s">
        <v>547</v>
      </c>
      <c r="F28" s="967" t="s">
        <v>548</v>
      </c>
      <c r="G28" s="375" t="s">
        <v>521</v>
      </c>
      <c r="H28" s="967" t="s">
        <v>549</v>
      </c>
      <c r="I28" s="375" t="s">
        <v>550</v>
      </c>
      <c r="J28" s="967" t="s">
        <v>548</v>
      </c>
      <c r="K28" s="375" t="s">
        <v>521</v>
      </c>
      <c r="L28" s="967" t="s">
        <v>549</v>
      </c>
      <c r="M28" s="375" t="s">
        <v>550</v>
      </c>
      <c r="N28" s="967" t="s">
        <v>548</v>
      </c>
      <c r="O28" s="375" t="s">
        <v>521</v>
      </c>
    </row>
    <row r="29" spans="1:17">
      <c r="A29" s="967"/>
      <c r="B29" s="967"/>
      <c r="C29" s="967"/>
      <c r="D29" s="375" t="s">
        <v>551</v>
      </c>
      <c r="E29" s="375" t="s">
        <v>552</v>
      </c>
      <c r="F29" s="967"/>
      <c r="G29" s="375" t="s">
        <v>522</v>
      </c>
      <c r="H29" s="967"/>
      <c r="I29" s="375" t="s">
        <v>553</v>
      </c>
      <c r="J29" s="967"/>
      <c r="K29" s="375" t="s">
        <v>522</v>
      </c>
      <c r="L29" s="967"/>
      <c r="M29" s="375" t="s">
        <v>553</v>
      </c>
      <c r="N29" s="967"/>
      <c r="O29" s="375" t="s">
        <v>522</v>
      </c>
    </row>
    <row r="30" spans="1:17" ht="63.75">
      <c r="A30" s="375">
        <v>1</v>
      </c>
      <c r="B30" s="378" t="s">
        <v>554</v>
      </c>
      <c r="C30" s="395">
        <v>925.05</v>
      </c>
      <c r="D30" s="382">
        <v>1.61</v>
      </c>
      <c r="E30" s="379">
        <f>G30/F30/D30/C30</f>
        <v>13</v>
      </c>
      <c r="F30" s="376">
        <v>12</v>
      </c>
      <c r="G30" s="396">
        <v>230140.41</v>
      </c>
      <c r="H30" s="382">
        <v>1.61</v>
      </c>
      <c r="I30" s="379">
        <f>K30/J30/H30/C30</f>
        <v>13</v>
      </c>
      <c r="J30" s="376">
        <v>12</v>
      </c>
      <c r="K30" s="396">
        <v>230140.41</v>
      </c>
      <c r="L30" s="382">
        <v>1.61</v>
      </c>
      <c r="M30" s="379">
        <f>O30/N30/L30/C30</f>
        <v>13</v>
      </c>
      <c r="N30" s="376">
        <v>12</v>
      </c>
      <c r="O30" s="396">
        <v>230140.41</v>
      </c>
      <c r="Q30" s="167" t="s">
        <v>555</v>
      </c>
    </row>
    <row r="31" spans="1:17" ht="89.25" hidden="1">
      <c r="A31" s="375">
        <v>2</v>
      </c>
      <c r="B31" s="378" t="s">
        <v>556</v>
      </c>
      <c r="C31" s="395">
        <v>1165</v>
      </c>
      <c r="D31" s="375">
        <v>52000</v>
      </c>
      <c r="E31" s="379">
        <v>0</v>
      </c>
      <c r="F31" s="376">
        <v>0</v>
      </c>
      <c r="G31" s="396">
        <f>D31*F31*E31</f>
        <v>0</v>
      </c>
      <c r="H31" s="375">
        <v>0</v>
      </c>
      <c r="I31" s="379">
        <v>0</v>
      </c>
      <c r="J31" s="375">
        <v>0</v>
      </c>
      <c r="K31" s="396">
        <v>0</v>
      </c>
      <c r="L31" s="375">
        <v>0</v>
      </c>
      <c r="M31" s="379">
        <v>0</v>
      </c>
      <c r="N31" s="375">
        <v>0</v>
      </c>
      <c r="O31" s="396">
        <v>0</v>
      </c>
    </row>
    <row r="32" spans="1:17" ht="38.25" hidden="1">
      <c r="A32" s="375">
        <v>3</v>
      </c>
      <c r="B32" s="378" t="s">
        <v>557</v>
      </c>
      <c r="C32" s="375">
        <v>0</v>
      </c>
      <c r="D32" s="375">
        <v>0</v>
      </c>
      <c r="E32" s="379">
        <v>0</v>
      </c>
      <c r="F32" s="375">
        <v>0</v>
      </c>
      <c r="G32" s="397">
        <f>C32*D32*E32*F32</f>
        <v>0</v>
      </c>
      <c r="H32" s="375">
        <v>42.15</v>
      </c>
      <c r="I32" s="379">
        <v>0</v>
      </c>
      <c r="J32" s="375">
        <v>0</v>
      </c>
      <c r="K32" s="396">
        <f t="shared" ref="K32:K34" si="1">C32*H32*I32*J32</f>
        <v>0</v>
      </c>
      <c r="L32" s="375">
        <v>42.15</v>
      </c>
      <c r="M32" s="379">
        <v>0</v>
      </c>
      <c r="N32" s="375">
        <v>0</v>
      </c>
      <c r="O32" s="396">
        <f t="shared" ref="O32:O34" si="2">C32*L32*M32*N32</f>
        <v>0</v>
      </c>
    </row>
    <row r="33" spans="1:17" ht="57" hidden="1" customHeight="1">
      <c r="A33" s="375">
        <v>4</v>
      </c>
      <c r="B33" s="378" t="s">
        <v>558</v>
      </c>
      <c r="C33" s="375">
        <v>741.23</v>
      </c>
      <c r="D33" s="398">
        <v>0</v>
      </c>
      <c r="E33" s="398">
        <v>0</v>
      </c>
      <c r="F33" s="398">
        <v>0</v>
      </c>
      <c r="G33" s="398">
        <v>0</v>
      </c>
      <c r="H33" s="375">
        <v>9.82</v>
      </c>
      <c r="I33" s="379">
        <v>0</v>
      </c>
      <c r="J33" s="375">
        <v>0</v>
      </c>
      <c r="K33" s="396">
        <f t="shared" si="1"/>
        <v>0</v>
      </c>
      <c r="L33" s="375">
        <v>9.82</v>
      </c>
      <c r="M33" s="379">
        <v>0</v>
      </c>
      <c r="N33" s="375">
        <v>0</v>
      </c>
      <c r="O33" s="396">
        <f t="shared" si="2"/>
        <v>0</v>
      </c>
    </row>
    <row r="34" spans="1:17" ht="57" hidden="1" customHeight="1">
      <c r="A34" s="375">
        <v>5</v>
      </c>
      <c r="B34" s="378" t="s">
        <v>559</v>
      </c>
      <c r="C34" s="375">
        <v>1972.5</v>
      </c>
      <c r="D34" s="398">
        <v>0</v>
      </c>
      <c r="E34" s="398">
        <v>0</v>
      </c>
      <c r="F34" s="398">
        <v>0</v>
      </c>
      <c r="G34" s="398">
        <v>0</v>
      </c>
      <c r="H34" s="375">
        <v>54.49</v>
      </c>
      <c r="I34" s="379">
        <v>0</v>
      </c>
      <c r="J34" s="375">
        <v>0</v>
      </c>
      <c r="K34" s="396">
        <f t="shared" si="1"/>
        <v>0</v>
      </c>
      <c r="L34" s="375">
        <v>54.49</v>
      </c>
      <c r="M34" s="379">
        <v>0</v>
      </c>
      <c r="N34" s="375">
        <v>0</v>
      </c>
      <c r="O34" s="396">
        <f t="shared" si="2"/>
        <v>0</v>
      </c>
    </row>
    <row r="35" spans="1:17">
      <c r="A35" s="378"/>
      <c r="B35" s="399" t="s">
        <v>475</v>
      </c>
      <c r="C35" s="375" t="s">
        <v>32</v>
      </c>
      <c r="D35" s="375" t="s">
        <v>32</v>
      </c>
      <c r="E35" s="375" t="s">
        <v>32</v>
      </c>
      <c r="F35" s="375" t="s">
        <v>32</v>
      </c>
      <c r="G35" s="396">
        <f>SUM(G30:G33)</f>
        <v>230140.41</v>
      </c>
      <c r="H35" s="375" t="s">
        <v>32</v>
      </c>
      <c r="I35" s="375" t="s">
        <v>32</v>
      </c>
      <c r="J35" s="375" t="s">
        <v>32</v>
      </c>
      <c r="K35" s="396">
        <f>SUM(K30:K34)</f>
        <v>230140.41</v>
      </c>
      <c r="L35" s="375" t="s">
        <v>32</v>
      </c>
      <c r="M35" s="375" t="s">
        <v>32</v>
      </c>
      <c r="N35" s="375" t="s">
        <v>32</v>
      </c>
      <c r="O35" s="396">
        <f>SUM(O30:O34)</f>
        <v>230140.41</v>
      </c>
    </row>
    <row r="36" spans="1:17">
      <c r="D36" s="326"/>
    </row>
    <row r="37" spans="1:17" s="170" customFormat="1">
      <c r="A37" s="147" t="s">
        <v>460</v>
      </c>
    </row>
    <row r="38" spans="1:17" ht="22.5" customHeight="1">
      <c r="A38" s="138" t="s">
        <v>461</v>
      </c>
      <c r="G38" s="184"/>
    </row>
    <row r="39" spans="1:17">
      <c r="A39" s="138" t="s">
        <v>462</v>
      </c>
      <c r="G39" s="185"/>
      <c r="H39" s="186"/>
    </row>
    <row r="40" spans="1:17">
      <c r="A40" s="139" t="s">
        <v>535</v>
      </c>
    </row>
    <row r="41" spans="1:17" ht="15" customHeight="1">
      <c r="A41" s="967" t="s">
        <v>307</v>
      </c>
      <c r="B41" s="967" t="s">
        <v>10</v>
      </c>
      <c r="C41" s="967" t="s">
        <v>545</v>
      </c>
      <c r="D41" s="967" t="s">
        <v>744</v>
      </c>
      <c r="E41" s="967"/>
      <c r="F41" s="967"/>
      <c r="G41" s="967"/>
      <c r="H41" s="967" t="s">
        <v>745</v>
      </c>
      <c r="I41" s="967"/>
      <c r="J41" s="967"/>
      <c r="K41" s="967"/>
      <c r="L41" s="967" t="s">
        <v>746</v>
      </c>
      <c r="M41" s="967"/>
      <c r="N41" s="967"/>
      <c r="O41" s="967"/>
    </row>
    <row r="42" spans="1:17" ht="25.5">
      <c r="A42" s="967"/>
      <c r="B42" s="967"/>
      <c r="C42" s="967"/>
      <c r="D42" s="375" t="s">
        <v>546</v>
      </c>
      <c r="E42" s="375" t="s">
        <v>547</v>
      </c>
      <c r="F42" s="967" t="s">
        <v>548</v>
      </c>
      <c r="G42" s="375" t="s">
        <v>521</v>
      </c>
      <c r="H42" s="967" t="s">
        <v>549</v>
      </c>
      <c r="I42" s="375" t="s">
        <v>550</v>
      </c>
      <c r="J42" s="967" t="s">
        <v>548</v>
      </c>
      <c r="K42" s="375" t="s">
        <v>521</v>
      </c>
      <c r="L42" s="967" t="s">
        <v>549</v>
      </c>
      <c r="M42" s="375" t="s">
        <v>550</v>
      </c>
      <c r="N42" s="967" t="s">
        <v>548</v>
      </c>
      <c r="O42" s="375" t="s">
        <v>521</v>
      </c>
    </row>
    <row r="43" spans="1:17">
      <c r="A43" s="967"/>
      <c r="B43" s="967"/>
      <c r="C43" s="967"/>
      <c r="D43" s="375" t="s">
        <v>551</v>
      </c>
      <c r="E43" s="375" t="s">
        <v>552</v>
      </c>
      <c r="F43" s="967"/>
      <c r="G43" s="375" t="s">
        <v>522</v>
      </c>
      <c r="H43" s="967"/>
      <c r="I43" s="375" t="s">
        <v>553</v>
      </c>
      <c r="J43" s="967"/>
      <c r="K43" s="375" t="s">
        <v>522</v>
      </c>
      <c r="L43" s="967"/>
      <c r="M43" s="375" t="s">
        <v>553</v>
      </c>
      <c r="N43" s="967"/>
      <c r="O43" s="375" t="s">
        <v>522</v>
      </c>
    </row>
    <row r="44" spans="1:17" ht="63.75" customHeight="1">
      <c r="A44" s="375">
        <v>1</v>
      </c>
      <c r="B44" s="378" t="s">
        <v>554</v>
      </c>
      <c r="C44" s="395">
        <v>925.05</v>
      </c>
      <c r="D44" s="382">
        <v>1.61</v>
      </c>
      <c r="E44" s="379">
        <f>G44/F44/D44/C44</f>
        <v>16</v>
      </c>
      <c r="F44" s="376">
        <v>12</v>
      </c>
      <c r="G44" s="396">
        <v>281282.73</v>
      </c>
      <c r="H44" s="382">
        <v>1.61</v>
      </c>
      <c r="I44" s="379">
        <f>K44/J44/H44/C44</f>
        <v>16</v>
      </c>
      <c r="J44" s="376">
        <v>12</v>
      </c>
      <c r="K44" s="396">
        <v>281282.73</v>
      </c>
      <c r="L44" s="382">
        <v>1.61</v>
      </c>
      <c r="M44" s="379">
        <f>O44/N44/L44/C44</f>
        <v>16</v>
      </c>
      <c r="N44" s="376">
        <v>12</v>
      </c>
      <c r="O44" s="396">
        <v>281282.73</v>
      </c>
      <c r="Q44" s="167" t="s">
        <v>560</v>
      </c>
    </row>
    <row r="45" spans="1:17" ht="57" hidden="1" customHeight="1">
      <c r="A45" s="393">
        <v>2</v>
      </c>
      <c r="B45" s="378" t="s">
        <v>558</v>
      </c>
      <c r="C45" s="375">
        <v>741.23</v>
      </c>
      <c r="D45" s="375">
        <v>9.82</v>
      </c>
      <c r="E45" s="379">
        <v>0</v>
      </c>
      <c r="F45" s="375">
        <v>0</v>
      </c>
      <c r="G45" s="396">
        <v>0</v>
      </c>
      <c r="H45" s="398">
        <v>0</v>
      </c>
      <c r="I45" s="398">
        <v>0</v>
      </c>
      <c r="J45" s="398">
        <v>0</v>
      </c>
      <c r="K45" s="398">
        <v>0</v>
      </c>
      <c r="L45" s="398">
        <v>0</v>
      </c>
      <c r="M45" s="398">
        <v>0</v>
      </c>
      <c r="N45" s="398">
        <v>0</v>
      </c>
      <c r="O45" s="396">
        <f t="shared" ref="O45:O46" si="3">C45*L45*M45*N45</f>
        <v>0</v>
      </c>
    </row>
    <row r="46" spans="1:17" ht="57" hidden="1" customHeight="1">
      <c r="A46" s="393">
        <v>3</v>
      </c>
      <c r="B46" s="378" t="s">
        <v>559</v>
      </c>
      <c r="C46" s="375">
        <v>1972.5</v>
      </c>
      <c r="D46" s="398">
        <v>0</v>
      </c>
      <c r="E46" s="398">
        <v>0</v>
      </c>
      <c r="F46" s="398">
        <v>0</v>
      </c>
      <c r="G46" s="398">
        <v>0</v>
      </c>
      <c r="H46" s="375">
        <v>54.49</v>
      </c>
      <c r="I46" s="379">
        <v>1</v>
      </c>
      <c r="J46" s="375">
        <v>2</v>
      </c>
      <c r="K46" s="396">
        <v>0</v>
      </c>
      <c r="L46" s="398">
        <v>0</v>
      </c>
      <c r="M46" s="398">
        <v>0</v>
      </c>
      <c r="N46" s="398">
        <v>0</v>
      </c>
      <c r="O46" s="396">
        <f t="shared" si="3"/>
        <v>0</v>
      </c>
    </row>
    <row r="47" spans="1:17">
      <c r="A47" s="378"/>
      <c r="B47" s="399" t="s">
        <v>475</v>
      </c>
      <c r="C47" s="375" t="s">
        <v>32</v>
      </c>
      <c r="D47" s="375" t="s">
        <v>32</v>
      </c>
      <c r="E47" s="375" t="s">
        <v>32</v>
      </c>
      <c r="F47" s="375" t="s">
        <v>32</v>
      </c>
      <c r="G47" s="396">
        <f>SUM(G44:G46)</f>
        <v>281282.73</v>
      </c>
      <c r="H47" s="375" t="s">
        <v>32</v>
      </c>
      <c r="I47" s="375" t="s">
        <v>32</v>
      </c>
      <c r="J47" s="375" t="s">
        <v>32</v>
      </c>
      <c r="K47" s="396">
        <f>SUM(K44:K46)</f>
        <v>281282.73</v>
      </c>
      <c r="L47" s="375" t="s">
        <v>32</v>
      </c>
      <c r="M47" s="375" t="s">
        <v>32</v>
      </c>
      <c r="N47" s="375" t="s">
        <v>32</v>
      </c>
      <c r="O47" s="396">
        <f>SUM(O44:O46)</f>
        <v>281282.73</v>
      </c>
    </row>
    <row r="48" spans="1:17">
      <c r="A48" s="138" t="s">
        <v>561</v>
      </c>
    </row>
    <row r="50" spans="1:17" s="168" customFormat="1">
      <c r="A50" s="400" t="s">
        <v>456</v>
      </c>
      <c r="B50" s="401"/>
      <c r="C50" s="401"/>
      <c r="D50" s="401"/>
      <c r="E50" s="401"/>
      <c r="F50" s="401"/>
      <c r="G50" s="401"/>
      <c r="H50" s="401"/>
      <c r="I50" s="401"/>
      <c r="J50" s="401"/>
      <c r="K50" s="401"/>
      <c r="L50" s="401"/>
      <c r="M50" s="401"/>
      <c r="N50" s="401"/>
      <c r="O50" s="401"/>
    </row>
    <row r="51" spans="1:17" ht="17.25" customHeight="1">
      <c r="A51" s="402" t="s">
        <v>457</v>
      </c>
      <c r="B51" s="403"/>
      <c r="C51" s="403"/>
      <c r="D51" s="403"/>
      <c r="E51" s="403"/>
      <c r="F51" s="403"/>
      <c r="G51" s="403"/>
      <c r="H51" s="403"/>
      <c r="I51" s="403"/>
      <c r="J51" s="403"/>
      <c r="K51" s="403"/>
      <c r="L51" s="403"/>
      <c r="M51" s="403"/>
      <c r="N51" s="403"/>
      <c r="O51" s="403"/>
    </row>
    <row r="52" spans="1:17">
      <c r="A52" s="402" t="s">
        <v>458</v>
      </c>
      <c r="B52" s="403"/>
      <c r="C52" s="403"/>
      <c r="D52" s="403"/>
      <c r="E52" s="403"/>
      <c r="F52" s="403"/>
      <c r="G52" s="403"/>
      <c r="H52" s="403"/>
      <c r="I52" s="403"/>
      <c r="J52" s="403"/>
      <c r="K52" s="403"/>
      <c r="L52" s="403"/>
      <c r="M52" s="403"/>
      <c r="N52" s="403"/>
      <c r="O52" s="403"/>
    </row>
    <row r="53" spans="1:17">
      <c r="A53" s="404" t="s">
        <v>535</v>
      </c>
      <c r="B53" s="403"/>
      <c r="C53" s="403"/>
      <c r="D53" s="403"/>
      <c r="E53" s="403"/>
      <c r="F53" s="403"/>
      <c r="G53" s="403"/>
      <c r="H53" s="403"/>
      <c r="I53" s="403"/>
      <c r="J53" s="403"/>
      <c r="K53" s="403"/>
      <c r="L53" s="403"/>
      <c r="M53" s="403"/>
      <c r="N53" s="403"/>
      <c r="O53" s="403"/>
    </row>
    <row r="54" spans="1:17">
      <c r="A54" s="964" t="s">
        <v>307</v>
      </c>
      <c r="B54" s="964" t="s">
        <v>10</v>
      </c>
      <c r="C54" s="964" t="s">
        <v>562</v>
      </c>
      <c r="D54" s="961" t="s">
        <v>744</v>
      </c>
      <c r="E54" s="962"/>
      <c r="F54" s="962"/>
      <c r="G54" s="963"/>
      <c r="H54" s="961" t="s">
        <v>745</v>
      </c>
      <c r="I54" s="962"/>
      <c r="J54" s="962"/>
      <c r="K54" s="963"/>
      <c r="L54" s="961" t="s">
        <v>746</v>
      </c>
      <c r="M54" s="962"/>
      <c r="N54" s="962"/>
      <c r="O54" s="963"/>
    </row>
    <row r="55" spans="1:17">
      <c r="A55" s="966"/>
      <c r="B55" s="966"/>
      <c r="C55" s="966"/>
      <c r="D55" s="964" t="s">
        <v>563</v>
      </c>
      <c r="E55" s="964" t="s">
        <v>564</v>
      </c>
      <c r="F55" s="964" t="s">
        <v>565</v>
      </c>
      <c r="G55" s="375" t="s">
        <v>521</v>
      </c>
      <c r="H55" s="964" t="s">
        <v>563</v>
      </c>
      <c r="I55" s="964" t="s">
        <v>564</v>
      </c>
      <c r="J55" s="964" t="s">
        <v>565</v>
      </c>
      <c r="K55" s="375" t="s">
        <v>521</v>
      </c>
      <c r="L55" s="964" t="s">
        <v>563</v>
      </c>
      <c r="M55" s="964" t="s">
        <v>564</v>
      </c>
      <c r="N55" s="964" t="s">
        <v>565</v>
      </c>
      <c r="O55" s="375" t="s">
        <v>521</v>
      </c>
    </row>
    <row r="56" spans="1:17" ht="42.75" customHeight="1">
      <c r="A56" s="965"/>
      <c r="B56" s="965"/>
      <c r="C56" s="965"/>
      <c r="D56" s="965"/>
      <c r="E56" s="965"/>
      <c r="F56" s="965"/>
      <c r="G56" s="375" t="s">
        <v>522</v>
      </c>
      <c r="H56" s="965"/>
      <c r="I56" s="965"/>
      <c r="J56" s="965"/>
      <c r="K56" s="375" t="s">
        <v>522</v>
      </c>
      <c r="L56" s="965"/>
      <c r="M56" s="965"/>
      <c r="N56" s="965"/>
      <c r="O56" s="375" t="s">
        <v>522</v>
      </c>
      <c r="Q56" s="167" t="s">
        <v>566</v>
      </c>
    </row>
    <row r="57" spans="1:17" ht="84" hidden="1" customHeight="1">
      <c r="A57" s="393">
        <v>1</v>
      </c>
      <c r="B57" s="378" t="s">
        <v>567</v>
      </c>
      <c r="C57" s="375" t="s">
        <v>568</v>
      </c>
      <c r="D57" s="395" t="s">
        <v>542</v>
      </c>
      <c r="E57" s="375">
        <v>0</v>
      </c>
      <c r="F57" s="375">
        <v>0</v>
      </c>
      <c r="G57" s="396">
        <v>0</v>
      </c>
      <c r="H57" s="375">
        <v>0</v>
      </c>
      <c r="I57" s="375">
        <v>0</v>
      </c>
      <c r="J57" s="375">
        <v>0</v>
      </c>
      <c r="K57" s="396">
        <f>H57*I57*J57</f>
        <v>0</v>
      </c>
      <c r="L57" s="375">
        <v>0</v>
      </c>
      <c r="M57" s="375">
        <v>0</v>
      </c>
      <c r="N57" s="375">
        <v>0</v>
      </c>
      <c r="O57" s="396">
        <f t="shared" ref="O57:O58" si="4">L57*M57*N57</f>
        <v>0</v>
      </c>
    </row>
    <row r="58" spans="1:17" ht="63.75" hidden="1">
      <c r="A58" s="393">
        <v>2</v>
      </c>
      <c r="B58" s="378" t="s">
        <v>569</v>
      </c>
      <c r="C58" s="378" t="s">
        <v>570</v>
      </c>
      <c r="D58" s="375">
        <v>1</v>
      </c>
      <c r="E58" s="375">
        <v>0</v>
      </c>
      <c r="F58" s="396" t="e">
        <f t="shared" ref="F58:F59" si="5">G58/D58/E58</f>
        <v>#DIV/0!</v>
      </c>
      <c r="G58" s="396">
        <v>0</v>
      </c>
      <c r="H58" s="375">
        <v>0</v>
      </c>
      <c r="I58" s="375">
        <v>0</v>
      </c>
      <c r="J58" s="396">
        <v>0</v>
      </c>
      <c r="K58" s="396">
        <v>0</v>
      </c>
      <c r="L58" s="375">
        <v>0</v>
      </c>
      <c r="M58" s="375">
        <v>0</v>
      </c>
      <c r="N58" s="396">
        <v>0</v>
      </c>
      <c r="O58" s="396">
        <f t="shared" si="4"/>
        <v>0</v>
      </c>
    </row>
    <row r="59" spans="1:17" ht="132" customHeight="1">
      <c r="A59" s="377">
        <v>1</v>
      </c>
      <c r="B59" s="572" t="s">
        <v>571</v>
      </c>
      <c r="C59" s="377" t="s">
        <v>570</v>
      </c>
      <c r="D59" s="377">
        <v>1</v>
      </c>
      <c r="E59" s="377">
        <v>12</v>
      </c>
      <c r="F59" s="384">
        <f t="shared" si="5"/>
        <v>1205.8699999999999</v>
      </c>
      <c r="G59" s="573">
        <v>14470.44</v>
      </c>
      <c r="H59" s="377">
        <v>1</v>
      </c>
      <c r="I59" s="377">
        <v>12</v>
      </c>
      <c r="J59" s="384">
        <f t="shared" ref="J59:J61" si="6">K59/H59/I59</f>
        <v>1205.8699999999999</v>
      </c>
      <c r="K59" s="573">
        <v>14470.44</v>
      </c>
      <c r="L59" s="377">
        <v>1</v>
      </c>
      <c r="M59" s="377">
        <v>12</v>
      </c>
      <c r="N59" s="384">
        <f t="shared" ref="N59:N61" si="7">O59/L59/M59</f>
        <v>1205.8699999999999</v>
      </c>
      <c r="O59" s="573">
        <v>14470.44</v>
      </c>
    </row>
    <row r="60" spans="1:17" ht="173.25" customHeight="1">
      <c r="A60" s="377">
        <v>2</v>
      </c>
      <c r="B60" s="572" t="s">
        <v>572</v>
      </c>
      <c r="C60" s="377" t="s">
        <v>570</v>
      </c>
      <c r="D60" s="377">
        <v>4</v>
      </c>
      <c r="E60" s="377">
        <v>12</v>
      </c>
      <c r="F60" s="384">
        <f>14403.3-2888.05</f>
        <v>11515.25</v>
      </c>
      <c r="G60" s="573">
        <v>25199.88</v>
      </c>
      <c r="H60" s="377">
        <v>4</v>
      </c>
      <c r="I60" s="377">
        <v>12</v>
      </c>
      <c r="J60" s="384">
        <f t="shared" si="6"/>
        <v>525</v>
      </c>
      <c r="K60" s="573">
        <v>25199.88</v>
      </c>
      <c r="L60" s="377">
        <v>4</v>
      </c>
      <c r="M60" s="377">
        <v>12</v>
      </c>
      <c r="N60" s="384">
        <f t="shared" si="7"/>
        <v>525</v>
      </c>
      <c r="O60" s="573">
        <v>25199.88</v>
      </c>
    </row>
    <row r="61" spans="1:17" ht="39.75" customHeight="1">
      <c r="A61" s="377">
        <v>3</v>
      </c>
      <c r="B61" s="572" t="s">
        <v>573</v>
      </c>
      <c r="C61" s="377" t="s">
        <v>568</v>
      </c>
      <c r="D61" s="377">
        <v>0</v>
      </c>
      <c r="E61" s="377">
        <v>0</v>
      </c>
      <c r="F61" s="384">
        <v>0</v>
      </c>
      <c r="G61" s="573">
        <v>0</v>
      </c>
      <c r="H61" s="377">
        <f>35+7</f>
        <v>42</v>
      </c>
      <c r="I61" s="377">
        <v>4</v>
      </c>
      <c r="J61" s="384">
        <f t="shared" si="6"/>
        <v>75.89</v>
      </c>
      <c r="K61" s="573">
        <v>12750</v>
      </c>
      <c r="L61" s="377">
        <f>35+7</f>
        <v>42</v>
      </c>
      <c r="M61" s="377">
        <v>4</v>
      </c>
      <c r="N61" s="384">
        <f t="shared" si="7"/>
        <v>89.05</v>
      </c>
      <c r="O61" s="573">
        <v>14960</v>
      </c>
    </row>
    <row r="62" spans="1:17" ht="54.75" customHeight="1">
      <c r="A62" s="377">
        <v>4</v>
      </c>
      <c r="B62" s="572" t="s">
        <v>762</v>
      </c>
      <c r="C62" s="377" t="s">
        <v>568</v>
      </c>
      <c r="D62" s="377">
        <v>0</v>
      </c>
      <c r="E62" s="377">
        <v>0</v>
      </c>
      <c r="F62" s="384">
        <v>0</v>
      </c>
      <c r="G62" s="573">
        <v>0</v>
      </c>
      <c r="H62" s="377">
        <v>0</v>
      </c>
      <c r="I62" s="377">
        <v>0</v>
      </c>
      <c r="J62" s="384">
        <v>0</v>
      </c>
      <c r="K62" s="573">
        <v>0</v>
      </c>
      <c r="L62" s="377">
        <v>6</v>
      </c>
      <c r="M62" s="377">
        <v>1</v>
      </c>
      <c r="N62" s="384">
        <v>124.67</v>
      </c>
      <c r="O62" s="573">
        <f>L62*M62*N62</f>
        <v>748.02</v>
      </c>
    </row>
    <row r="63" spans="1:17" ht="130.5" customHeight="1">
      <c r="A63" s="377">
        <v>5</v>
      </c>
      <c r="B63" s="572" t="s">
        <v>574</v>
      </c>
      <c r="C63" s="377" t="s">
        <v>570</v>
      </c>
      <c r="D63" s="377">
        <v>2</v>
      </c>
      <c r="E63" s="377">
        <v>9</v>
      </c>
      <c r="F63" s="384">
        <f>G63/E63/D63</f>
        <v>2750</v>
      </c>
      <c r="G63" s="573">
        <v>49500</v>
      </c>
      <c r="H63" s="377">
        <v>2</v>
      </c>
      <c r="I63" s="377">
        <v>9</v>
      </c>
      <c r="J63" s="384">
        <f>K63/I63/H63</f>
        <v>2750</v>
      </c>
      <c r="K63" s="573">
        <v>49500</v>
      </c>
      <c r="L63" s="377">
        <v>2</v>
      </c>
      <c r="M63" s="377">
        <v>9</v>
      </c>
      <c r="N63" s="384">
        <f>O63/M63/L63</f>
        <v>2750</v>
      </c>
      <c r="O63" s="573">
        <v>49500</v>
      </c>
    </row>
    <row r="64" spans="1:17">
      <c r="A64" s="572"/>
      <c r="B64" s="574" t="s">
        <v>475</v>
      </c>
      <c r="C64" s="377" t="s">
        <v>32</v>
      </c>
      <c r="D64" s="377">
        <v>0</v>
      </c>
      <c r="E64" s="377">
        <v>0</v>
      </c>
      <c r="F64" s="377">
        <v>0</v>
      </c>
      <c r="G64" s="573">
        <f>SUM(G57:G63)</f>
        <v>89170.32</v>
      </c>
      <c r="H64" s="377" t="s">
        <v>32</v>
      </c>
      <c r="I64" s="377" t="s">
        <v>32</v>
      </c>
      <c r="J64" s="377" t="s">
        <v>32</v>
      </c>
      <c r="K64" s="573">
        <f>SUM(K57:K63)</f>
        <v>101920.32000000001</v>
      </c>
      <c r="L64" s="377" t="s">
        <v>32</v>
      </c>
      <c r="M64" s="377" t="s">
        <v>32</v>
      </c>
      <c r="N64" s="377" t="s">
        <v>32</v>
      </c>
      <c r="O64" s="573">
        <f>SUM(O57:O63)</f>
        <v>104878.34</v>
      </c>
    </row>
    <row r="66" spans="1:15" hidden="1"/>
    <row r="67" spans="1:15" s="170" customFormat="1" hidden="1">
      <c r="A67" s="147" t="s">
        <v>460</v>
      </c>
    </row>
    <row r="68" spans="1:15" hidden="1">
      <c r="A68" s="138" t="s">
        <v>461</v>
      </c>
    </row>
    <row r="69" spans="1:15" hidden="1">
      <c r="A69" s="138" t="s">
        <v>462</v>
      </c>
    </row>
    <row r="70" spans="1:15" hidden="1">
      <c r="A70" s="139" t="s">
        <v>535</v>
      </c>
    </row>
    <row r="71" spans="1:15" hidden="1">
      <c r="A71" s="848" t="s">
        <v>307</v>
      </c>
      <c r="B71" s="848" t="s">
        <v>10</v>
      </c>
      <c r="C71" s="848" t="s">
        <v>562</v>
      </c>
      <c r="D71" s="848" t="s">
        <v>434</v>
      </c>
      <c r="E71" s="848"/>
      <c r="F71" s="848"/>
      <c r="G71" s="848"/>
      <c r="H71" s="848" t="s">
        <v>435</v>
      </c>
      <c r="I71" s="848"/>
      <c r="J71" s="848"/>
      <c r="K71" s="848"/>
      <c r="L71" s="848" t="s">
        <v>436</v>
      </c>
      <c r="M71" s="848"/>
      <c r="N71" s="848"/>
      <c r="O71" s="848"/>
    </row>
    <row r="72" spans="1:15" hidden="1">
      <c r="A72" s="848"/>
      <c r="B72" s="848"/>
      <c r="C72" s="848"/>
      <c r="D72" s="848" t="s">
        <v>563</v>
      </c>
      <c r="E72" s="848" t="s">
        <v>564</v>
      </c>
      <c r="F72" s="848" t="s">
        <v>565</v>
      </c>
      <c r="G72" s="119" t="s">
        <v>521</v>
      </c>
      <c r="H72" s="848" t="s">
        <v>563</v>
      </c>
      <c r="I72" s="848" t="s">
        <v>564</v>
      </c>
      <c r="J72" s="848" t="s">
        <v>565</v>
      </c>
      <c r="K72" s="119" t="s">
        <v>521</v>
      </c>
      <c r="L72" s="848" t="s">
        <v>563</v>
      </c>
      <c r="M72" s="848" t="s">
        <v>564</v>
      </c>
      <c r="N72" s="848" t="s">
        <v>565</v>
      </c>
      <c r="O72" s="119" t="s">
        <v>521</v>
      </c>
    </row>
    <row r="73" spans="1:15" ht="36" hidden="1" customHeight="1">
      <c r="A73" s="848"/>
      <c r="B73" s="848"/>
      <c r="C73" s="848"/>
      <c r="D73" s="848"/>
      <c r="E73" s="848"/>
      <c r="F73" s="848"/>
      <c r="G73" s="119" t="s">
        <v>522</v>
      </c>
      <c r="H73" s="848"/>
      <c r="I73" s="848"/>
      <c r="J73" s="848"/>
      <c r="K73" s="119" t="s">
        <v>522</v>
      </c>
      <c r="L73" s="848"/>
      <c r="M73" s="848"/>
      <c r="N73" s="848"/>
      <c r="O73" s="119" t="s">
        <v>522</v>
      </c>
    </row>
    <row r="74" spans="1:15" ht="165.75" hidden="1">
      <c r="A74" s="119">
        <v>1</v>
      </c>
      <c r="B74" s="144" t="s">
        <v>575</v>
      </c>
      <c r="C74" s="144" t="s">
        <v>570</v>
      </c>
      <c r="D74" s="119">
        <v>4</v>
      </c>
      <c r="E74" s="119">
        <v>12</v>
      </c>
      <c r="F74" s="160">
        <f t="shared" ref="F74:F75" si="8">G74/D74/E74</f>
        <v>0</v>
      </c>
      <c r="G74" s="160">
        <v>0</v>
      </c>
      <c r="H74" s="119">
        <v>0</v>
      </c>
      <c r="I74" s="119">
        <v>0</v>
      </c>
      <c r="J74" s="160">
        <v>0</v>
      </c>
      <c r="K74" s="160">
        <v>0</v>
      </c>
      <c r="L74" s="119">
        <v>0</v>
      </c>
      <c r="M74" s="119">
        <v>0</v>
      </c>
      <c r="N74" s="160">
        <v>0</v>
      </c>
      <c r="O74" s="160">
        <f t="shared" ref="O74:O75" si="9">L74*M74*N74</f>
        <v>0</v>
      </c>
    </row>
    <row r="75" spans="1:15" hidden="1">
      <c r="A75" s="119">
        <v>2</v>
      </c>
      <c r="B75" s="144" t="s">
        <v>576</v>
      </c>
      <c r="C75" s="144" t="s">
        <v>570</v>
      </c>
      <c r="D75" s="119">
        <v>2</v>
      </c>
      <c r="E75" s="119">
        <v>12</v>
      </c>
      <c r="F75" s="160">
        <f t="shared" si="8"/>
        <v>0</v>
      </c>
      <c r="G75" s="160">
        <v>0</v>
      </c>
      <c r="H75" s="119">
        <v>0</v>
      </c>
      <c r="I75" s="119">
        <v>0</v>
      </c>
      <c r="J75" s="160">
        <v>0</v>
      </c>
      <c r="K75" s="160">
        <f>H75*I75*J75</f>
        <v>0</v>
      </c>
      <c r="L75" s="119">
        <v>0</v>
      </c>
      <c r="M75" s="119">
        <v>0</v>
      </c>
      <c r="N75" s="160">
        <v>0</v>
      </c>
      <c r="O75" s="160">
        <f t="shared" si="9"/>
        <v>0</v>
      </c>
    </row>
    <row r="76" spans="1:15" ht="25.5" hidden="1">
      <c r="A76" s="119">
        <v>3</v>
      </c>
      <c r="B76" s="144" t="s">
        <v>573</v>
      </c>
      <c r="C76" s="144" t="s">
        <v>577</v>
      </c>
      <c r="D76" s="119">
        <v>1</v>
      </c>
      <c r="E76" s="119">
        <v>1</v>
      </c>
      <c r="F76" s="160">
        <f>G76/E76/D76</f>
        <v>0</v>
      </c>
      <c r="G76" s="160">
        <v>0</v>
      </c>
      <c r="H76" s="119">
        <v>0</v>
      </c>
      <c r="I76" s="119">
        <v>0</v>
      </c>
      <c r="J76" s="160">
        <v>0</v>
      </c>
      <c r="K76" s="160">
        <v>0</v>
      </c>
      <c r="L76" s="119">
        <v>0</v>
      </c>
      <c r="M76" s="119">
        <v>0</v>
      </c>
      <c r="N76" s="160">
        <v>0</v>
      </c>
      <c r="O76" s="160">
        <v>0</v>
      </c>
    </row>
    <row r="77" spans="1:15" ht="63.75" hidden="1">
      <c r="A77" s="243">
        <v>4</v>
      </c>
      <c r="B77" s="244" t="s">
        <v>666</v>
      </c>
      <c r="C77" s="244" t="s">
        <v>577</v>
      </c>
      <c r="D77" s="243">
        <v>3</v>
      </c>
      <c r="E77" s="243">
        <v>1</v>
      </c>
      <c r="F77" s="160">
        <f>G77/E77/D77</f>
        <v>0</v>
      </c>
      <c r="G77" s="160">
        <v>0</v>
      </c>
      <c r="H77" s="243">
        <v>0</v>
      </c>
      <c r="I77" s="243">
        <v>0</v>
      </c>
      <c r="J77" s="160">
        <v>0</v>
      </c>
      <c r="K77" s="160">
        <v>0</v>
      </c>
      <c r="L77" s="243">
        <v>0</v>
      </c>
      <c r="M77" s="243">
        <v>0</v>
      </c>
      <c r="N77" s="160">
        <v>0</v>
      </c>
      <c r="O77" s="160">
        <v>0</v>
      </c>
    </row>
    <row r="78" spans="1:15" ht="38.25" hidden="1">
      <c r="A78" s="119">
        <v>5</v>
      </c>
      <c r="B78" s="144" t="s">
        <v>667</v>
      </c>
      <c r="C78" s="244" t="s">
        <v>577</v>
      </c>
      <c r="D78" s="119">
        <v>2</v>
      </c>
      <c r="E78" s="119">
        <v>1</v>
      </c>
      <c r="F78" s="160">
        <f>G78/E78/D78</f>
        <v>0</v>
      </c>
      <c r="G78" s="160">
        <v>0</v>
      </c>
      <c r="H78" s="119">
        <v>0</v>
      </c>
      <c r="I78" s="119">
        <v>0</v>
      </c>
      <c r="J78" s="160">
        <v>0</v>
      </c>
      <c r="K78" s="160">
        <v>0</v>
      </c>
      <c r="L78" s="119">
        <v>0</v>
      </c>
      <c r="M78" s="119">
        <v>0</v>
      </c>
      <c r="N78" s="160">
        <v>0</v>
      </c>
      <c r="O78" s="160">
        <v>0</v>
      </c>
    </row>
    <row r="79" spans="1:15" hidden="1">
      <c r="A79" s="144"/>
      <c r="B79" s="173" t="s">
        <v>475</v>
      </c>
      <c r="C79" s="119" t="s">
        <v>32</v>
      </c>
      <c r="D79" s="119" t="s">
        <v>32</v>
      </c>
      <c r="E79" s="119" t="s">
        <v>32</v>
      </c>
      <c r="F79" s="119" t="s">
        <v>32</v>
      </c>
      <c r="G79" s="160">
        <f>SUM(G74:G78)</f>
        <v>0</v>
      </c>
      <c r="H79" s="119" t="s">
        <v>32</v>
      </c>
      <c r="I79" s="119" t="s">
        <v>32</v>
      </c>
      <c r="J79" s="119" t="s">
        <v>32</v>
      </c>
      <c r="K79" s="160">
        <f>K75</f>
        <v>0</v>
      </c>
      <c r="L79" s="119" t="s">
        <v>32</v>
      </c>
      <c r="M79" s="119" t="s">
        <v>32</v>
      </c>
      <c r="N79" s="119" t="s">
        <v>32</v>
      </c>
      <c r="O79" s="160">
        <f>O75</f>
        <v>0</v>
      </c>
    </row>
    <row r="85" spans="7:15">
      <c r="G85" s="186">
        <f>G64+G35</f>
        <v>319310.73</v>
      </c>
      <c r="H85" s="186"/>
      <c r="I85" s="186"/>
      <c r="J85" s="186"/>
      <c r="K85" s="186">
        <f t="shared" ref="K85:O85" si="10">K64+K35</f>
        <v>332060.73</v>
      </c>
      <c r="L85" s="186"/>
      <c r="M85" s="186"/>
      <c r="N85" s="186"/>
      <c r="O85" s="186">
        <f t="shared" si="10"/>
        <v>335018.75</v>
      </c>
    </row>
    <row r="275" spans="6:7">
      <c r="F275" s="186" t="e">
        <f>#REF!+#REF!+#REF!+'Лист7(214,266)'!E10+'Лист7(214,266)'!F33+'Лист7(214,266)'!E65+#REF!+#REF!+#REF!+#REF!+#REF!+#REF!+#REF!+'Лист11(225)'!F19+'Лист11(225)'!G35+'Лист11(225)'!G64+'Лист12(224,225,226,310,342-349'!G36+'Лист12(224,225,226,310,342-349'!G70+'Лист12(224,225,226,310,342-349'!G80+'Лист12(224,225,226,310,342-349'!G165+'Лист12(224,225,226,310,342-349'!G220+'Лист12(224,225,226,310,342-349'!G230+'Лист12(224,225,226,310,342-349'!G240+'Лист6(211,212,226,266)'!E56+#REF!+F176</f>
        <v>#REF!</v>
      </c>
      <c r="G275" s="186" t="e">
        <f>#REF!+#REF!+#REF!+'Лист7(214,266)'!H10+'Лист7(214,266)'!J33+'Лист7(214,266)'!H65+#REF!+#REF!+#REF!+#REF!+#REF!+#REF!+#REF!+'Лист11(225)'!J19+'Лист11(225)'!K35+'Лист11(225)'!K64+'Лист12(224,225,226,310,342-349'!K36+'Лист12(224,225,226,310,342-349'!J70+'Лист12(224,225,226,310,342-349'!J80+'Лист12(224,225,226,310,342-349'!J165</f>
        <v>#REF!</v>
      </c>
    </row>
  </sheetData>
  <mergeCells count="81">
    <mergeCell ref="A2:A4"/>
    <mergeCell ref="B2:B4"/>
    <mergeCell ref="C2:F2"/>
    <mergeCell ref="G2:J2"/>
    <mergeCell ref="K2:N2"/>
    <mergeCell ref="C3:C4"/>
    <mergeCell ref="D3:D4"/>
    <mergeCell ref="F3:F4"/>
    <mergeCell ref="G3:G4"/>
    <mergeCell ref="H3:H4"/>
    <mergeCell ref="J3:J4"/>
    <mergeCell ref="K3:K4"/>
    <mergeCell ref="L3:L4"/>
    <mergeCell ref="N3:N4"/>
    <mergeCell ref="A14:A16"/>
    <mergeCell ref="B14:B16"/>
    <mergeCell ref="C14:F14"/>
    <mergeCell ref="G14:J14"/>
    <mergeCell ref="K14:N14"/>
    <mergeCell ref="C15:C16"/>
    <mergeCell ref="D15:D16"/>
    <mergeCell ref="E15:E16"/>
    <mergeCell ref="F15:F16"/>
    <mergeCell ref="G15:G16"/>
    <mergeCell ref="I15:I16"/>
    <mergeCell ref="J15:J16"/>
    <mergeCell ref="K15:K16"/>
    <mergeCell ref="M15:M16"/>
    <mergeCell ref="N15:N16"/>
    <mergeCell ref="A27:A29"/>
    <mergeCell ref="B27:B29"/>
    <mergeCell ref="C27:C29"/>
    <mergeCell ref="D27:G27"/>
    <mergeCell ref="H27:K27"/>
    <mergeCell ref="L27:O27"/>
    <mergeCell ref="F28:F29"/>
    <mergeCell ref="H28:H29"/>
    <mergeCell ref="J28:J29"/>
    <mergeCell ref="L28:L29"/>
    <mergeCell ref="N28:N29"/>
    <mergeCell ref="A41:A43"/>
    <mergeCell ref="B41:B43"/>
    <mergeCell ref="C41:C43"/>
    <mergeCell ref="D41:G41"/>
    <mergeCell ref="H41:K41"/>
    <mergeCell ref="L41:O41"/>
    <mergeCell ref="F42:F43"/>
    <mergeCell ref="H42:H43"/>
    <mergeCell ref="J42:J43"/>
    <mergeCell ref="L42:L43"/>
    <mergeCell ref="N42:N43"/>
    <mergeCell ref="A54:A56"/>
    <mergeCell ref="B54:B56"/>
    <mergeCell ref="C54:C56"/>
    <mergeCell ref="D54:G54"/>
    <mergeCell ref="H54:K54"/>
    <mergeCell ref="L54:O54"/>
    <mergeCell ref="D55:D56"/>
    <mergeCell ref="E55:E56"/>
    <mergeCell ref="F55:F56"/>
    <mergeCell ref="H55:H56"/>
    <mergeCell ref="I55:I56"/>
    <mergeCell ref="J55:J56"/>
    <mergeCell ref="L55:L56"/>
    <mergeCell ref="M55:M56"/>
    <mergeCell ref="N55:N56"/>
    <mergeCell ref="A71:A73"/>
    <mergeCell ref="B71:B73"/>
    <mergeCell ref="C71:C73"/>
    <mergeCell ref="D71:G71"/>
    <mergeCell ref="H71:K71"/>
    <mergeCell ref="L71:O71"/>
    <mergeCell ref="D72:D73"/>
    <mergeCell ref="E72:E73"/>
    <mergeCell ref="F72:F73"/>
    <mergeCell ref="H72:H73"/>
    <mergeCell ref="I72:I73"/>
    <mergeCell ref="J72:J73"/>
    <mergeCell ref="L72:L73"/>
    <mergeCell ref="M72:M73"/>
    <mergeCell ref="N72:N73"/>
  </mergeCells>
  <pageMargins left="0.70866141732283472" right="0.70866141732283472" top="0.74803149606299213" bottom="0.74803149606299213" header="0.31496062992125984" footer="0.31496062992125984"/>
  <pageSetup paperSize="9" scale="4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AC400"/>
  <sheetViews>
    <sheetView view="pageBreakPreview" topLeftCell="A254" zoomScale="70" zoomScaleNormal="85" zoomScaleSheetLayoutView="70" workbookViewId="0">
      <selection activeCell="B255" sqref="B255:M263"/>
    </sheetView>
  </sheetViews>
  <sheetFormatPr defaultRowHeight="15"/>
  <cols>
    <col min="1" max="1" width="9.140625" style="180"/>
    <col min="2" max="2" width="6" style="44" bestFit="1" customWidth="1"/>
    <col min="3" max="3" width="37.42578125" style="44" customWidth="1"/>
    <col min="4" max="4" width="12.42578125" style="44" bestFit="1" customWidth="1"/>
    <col min="5" max="5" width="13.140625" style="44" customWidth="1"/>
    <col min="6" max="6" width="15.5703125" style="44" bestFit="1" customWidth="1"/>
    <col min="7" max="7" width="15.85546875" style="44" bestFit="1" customWidth="1"/>
    <col min="8" max="8" width="15" style="44" bestFit="1" customWidth="1"/>
    <col min="9" max="9" width="15.42578125" style="44" bestFit="1" customWidth="1"/>
    <col min="10" max="10" width="14" style="44" bestFit="1" customWidth="1"/>
    <col min="11" max="11" width="13.140625" style="44" bestFit="1" customWidth="1"/>
    <col min="12" max="12" width="12" style="44" customWidth="1"/>
    <col min="13" max="13" width="14.85546875" style="44" bestFit="1" customWidth="1"/>
    <col min="14" max="14" width="10.7109375" style="44" bestFit="1" customWidth="1"/>
    <col min="15" max="15" width="11.7109375" style="44" bestFit="1" customWidth="1"/>
    <col min="16" max="16" width="14.7109375" style="44" bestFit="1" customWidth="1"/>
    <col min="17" max="17" width="5" style="44" customWidth="1"/>
    <col min="18" max="18" width="27.42578125" style="44" customWidth="1"/>
    <col min="19" max="19" width="14.42578125" style="44" customWidth="1"/>
    <col min="20" max="20" width="9.140625" style="44"/>
    <col min="21" max="21" width="14.7109375" style="180" customWidth="1"/>
    <col min="22" max="29" width="14.7109375" style="44" customWidth="1"/>
    <col min="30" max="16384" width="9.140625" style="44"/>
  </cols>
  <sheetData>
    <row r="1" spans="2:17" ht="15.75" hidden="1" customHeight="1">
      <c r="B1" s="1" t="s">
        <v>578</v>
      </c>
    </row>
    <row r="2" spans="2:17" ht="11.25" hidden="1" customHeight="1">
      <c r="Q2" s="44" t="s">
        <v>579</v>
      </c>
    </row>
    <row r="3" spans="2:17" s="175" customFormat="1" ht="15" hidden="1" customHeight="1">
      <c r="B3" s="175" t="s">
        <v>460</v>
      </c>
      <c r="M3" s="44"/>
      <c r="N3" s="44"/>
      <c r="O3" s="44"/>
    </row>
    <row r="4" spans="2:17" ht="16.5" hidden="1" customHeight="1">
      <c r="B4" s="44" t="s">
        <v>461</v>
      </c>
    </row>
    <row r="5" spans="2:17" ht="15" hidden="1" customHeight="1">
      <c r="B5" s="44" t="s">
        <v>462</v>
      </c>
    </row>
    <row r="6" spans="2:17" ht="15" hidden="1" customHeight="1">
      <c r="B6" s="176" t="s">
        <v>535</v>
      </c>
    </row>
    <row r="7" spans="2:17" ht="25.5" hidden="1" customHeight="1">
      <c r="B7" s="848" t="s">
        <v>307</v>
      </c>
      <c r="C7" s="848" t="s">
        <v>465</v>
      </c>
      <c r="D7" s="848" t="s">
        <v>434</v>
      </c>
      <c r="E7" s="848"/>
      <c r="F7" s="848"/>
      <c r="G7" s="848" t="s">
        <v>435</v>
      </c>
      <c r="H7" s="848"/>
      <c r="I7" s="848"/>
      <c r="J7" s="848" t="s">
        <v>436</v>
      </c>
      <c r="K7" s="848"/>
      <c r="L7" s="848"/>
    </row>
    <row r="8" spans="2:17" ht="15" hidden="1" customHeight="1">
      <c r="B8" s="848"/>
      <c r="C8" s="848"/>
      <c r="D8" s="848" t="s">
        <v>563</v>
      </c>
      <c r="E8" s="119" t="s">
        <v>546</v>
      </c>
      <c r="F8" s="848" t="s">
        <v>468</v>
      </c>
      <c r="G8" s="848" t="s">
        <v>563</v>
      </c>
      <c r="H8" s="119" t="s">
        <v>580</v>
      </c>
      <c r="I8" s="848" t="s">
        <v>468</v>
      </c>
      <c r="J8" s="848" t="s">
        <v>563</v>
      </c>
      <c r="K8" s="119" t="s">
        <v>546</v>
      </c>
      <c r="L8" s="848" t="s">
        <v>468</v>
      </c>
    </row>
    <row r="9" spans="2:17" ht="15" hidden="1" customHeight="1">
      <c r="B9" s="848"/>
      <c r="C9" s="848"/>
      <c r="D9" s="848"/>
      <c r="E9" s="119" t="s">
        <v>581</v>
      </c>
      <c r="F9" s="848"/>
      <c r="G9" s="848"/>
      <c r="H9" s="119" t="s">
        <v>581</v>
      </c>
      <c r="I9" s="848"/>
      <c r="J9" s="848"/>
      <c r="K9" s="119" t="s">
        <v>581</v>
      </c>
      <c r="L9" s="848"/>
    </row>
    <row r="10" spans="2:17" ht="15" hidden="1" customHeight="1">
      <c r="B10" s="119">
        <v>1</v>
      </c>
      <c r="C10" s="144" t="s">
        <v>582</v>
      </c>
      <c r="D10" s="119" t="s">
        <v>32</v>
      </c>
      <c r="E10" s="119" t="s">
        <v>32</v>
      </c>
      <c r="F10" s="119" t="s">
        <v>32</v>
      </c>
      <c r="G10" s="119" t="s">
        <v>32</v>
      </c>
      <c r="H10" s="119" t="s">
        <v>32</v>
      </c>
      <c r="I10" s="119" t="s">
        <v>32</v>
      </c>
      <c r="J10" s="119" t="s">
        <v>32</v>
      </c>
      <c r="K10" s="119" t="s">
        <v>32</v>
      </c>
      <c r="L10" s="119" t="s">
        <v>32</v>
      </c>
    </row>
    <row r="11" spans="2:17" ht="15" hidden="1" customHeight="1">
      <c r="B11" s="119" t="s">
        <v>315</v>
      </c>
      <c r="C11" s="187" t="s">
        <v>583</v>
      </c>
      <c r="D11" s="119">
        <v>26</v>
      </c>
      <c r="E11" s="119">
        <v>317</v>
      </c>
      <c r="F11" s="137">
        <v>0</v>
      </c>
      <c r="G11" s="119">
        <v>26</v>
      </c>
      <c r="H11" s="119">
        <v>317</v>
      </c>
      <c r="I11" s="137">
        <v>0</v>
      </c>
      <c r="J11" s="119">
        <v>26</v>
      </c>
      <c r="K11" s="119">
        <v>317</v>
      </c>
      <c r="L11" s="137">
        <v>0</v>
      </c>
    </row>
    <row r="12" spans="2:17" ht="25.5" hidden="1" customHeight="1">
      <c r="B12" s="119">
        <v>2</v>
      </c>
      <c r="C12" s="144" t="s">
        <v>584</v>
      </c>
      <c r="D12" s="119" t="s">
        <v>32</v>
      </c>
      <c r="E12" s="119" t="s">
        <v>32</v>
      </c>
      <c r="F12" s="119" t="s">
        <v>32</v>
      </c>
      <c r="G12" s="119" t="s">
        <v>32</v>
      </c>
      <c r="H12" s="119" t="s">
        <v>32</v>
      </c>
      <c r="I12" s="119" t="s">
        <v>32</v>
      </c>
      <c r="J12" s="119" t="s">
        <v>32</v>
      </c>
      <c r="K12" s="119" t="s">
        <v>32</v>
      </c>
      <c r="L12" s="119" t="s">
        <v>32</v>
      </c>
    </row>
    <row r="13" spans="2:17" ht="15" hidden="1" customHeight="1">
      <c r="B13" s="119" t="s">
        <v>585</v>
      </c>
      <c r="C13" s="187" t="s">
        <v>583</v>
      </c>
      <c r="D13" s="119">
        <v>42</v>
      </c>
      <c r="E13" s="119">
        <v>230</v>
      </c>
      <c r="F13" s="137">
        <v>0</v>
      </c>
      <c r="G13" s="119">
        <v>42</v>
      </c>
      <c r="H13" s="119">
        <v>230</v>
      </c>
      <c r="I13" s="137">
        <v>0</v>
      </c>
      <c r="J13" s="119">
        <v>42</v>
      </c>
      <c r="K13" s="119">
        <v>230</v>
      </c>
      <c r="L13" s="137">
        <v>0</v>
      </c>
    </row>
    <row r="14" spans="2:17" ht="15" hidden="1" customHeight="1">
      <c r="B14" s="119"/>
      <c r="C14" s="173" t="s">
        <v>475</v>
      </c>
      <c r="D14" s="143">
        <f>D11+D13</f>
        <v>68</v>
      </c>
      <c r="E14" s="119" t="s">
        <v>32</v>
      </c>
      <c r="F14" s="142">
        <f>F11+F13</f>
        <v>0</v>
      </c>
      <c r="G14" s="143">
        <f>G11+G13</f>
        <v>68</v>
      </c>
      <c r="H14" s="119" t="s">
        <v>32</v>
      </c>
      <c r="I14" s="142">
        <f>I11+I13</f>
        <v>0</v>
      </c>
      <c r="J14" s="143">
        <f>J11+J13</f>
        <v>68</v>
      </c>
      <c r="K14" s="119" t="s">
        <v>32</v>
      </c>
      <c r="L14" s="142">
        <f>L11+L13</f>
        <v>0</v>
      </c>
    </row>
    <row r="15" spans="2:17" ht="15" hidden="1" customHeight="1"/>
    <row r="16" spans="2:17" ht="15.75" hidden="1" customHeight="1">
      <c r="B16" s="1" t="s">
        <v>586</v>
      </c>
    </row>
    <row r="17" spans="2:15" ht="15" hidden="1" customHeight="1">
      <c r="B17" s="44" t="s">
        <v>483</v>
      </c>
    </row>
    <row r="18" spans="2:15" ht="15" hidden="1" customHeight="1">
      <c r="B18" s="176" t="s">
        <v>484</v>
      </c>
    </row>
    <row r="19" spans="2:15" ht="25.5" hidden="1" customHeight="1">
      <c r="B19" s="848" t="s">
        <v>307</v>
      </c>
      <c r="C19" s="848" t="s">
        <v>465</v>
      </c>
      <c r="D19" s="848" t="s">
        <v>485</v>
      </c>
      <c r="E19" s="848"/>
      <c r="F19" s="848"/>
      <c r="G19" s="848" t="s">
        <v>486</v>
      </c>
      <c r="H19" s="848"/>
      <c r="I19" s="848"/>
      <c r="J19" s="848" t="s">
        <v>487</v>
      </c>
      <c r="K19" s="848"/>
      <c r="L19" s="848"/>
    </row>
    <row r="20" spans="2:15" ht="15" hidden="1" customHeight="1">
      <c r="B20" s="848"/>
      <c r="C20" s="848"/>
      <c r="D20" s="973" t="s">
        <v>563</v>
      </c>
      <c r="E20" s="119" t="s">
        <v>580</v>
      </c>
      <c r="F20" s="848" t="s">
        <v>468</v>
      </c>
      <c r="G20" s="848" t="s">
        <v>563</v>
      </c>
      <c r="H20" s="119" t="s">
        <v>546</v>
      </c>
      <c r="I20" s="848" t="s">
        <v>468</v>
      </c>
      <c r="J20" s="848" t="s">
        <v>563</v>
      </c>
      <c r="K20" s="119" t="s">
        <v>546</v>
      </c>
      <c r="L20" s="848" t="s">
        <v>468</v>
      </c>
    </row>
    <row r="21" spans="2:15" ht="15" hidden="1" customHeight="1">
      <c r="B21" s="848"/>
      <c r="C21" s="848"/>
      <c r="D21" s="973"/>
      <c r="E21" s="119" t="s">
        <v>587</v>
      </c>
      <c r="F21" s="848"/>
      <c r="G21" s="848"/>
      <c r="H21" s="119" t="s">
        <v>581</v>
      </c>
      <c r="I21" s="848"/>
      <c r="J21" s="848"/>
      <c r="K21" s="119" t="s">
        <v>581</v>
      </c>
      <c r="L21" s="848"/>
    </row>
    <row r="22" spans="2:15" ht="15" hidden="1" customHeight="1">
      <c r="B22" s="119"/>
      <c r="C22" s="119"/>
      <c r="D22" s="154"/>
      <c r="E22" s="154"/>
      <c r="F22" s="154"/>
      <c r="G22" s="154"/>
      <c r="H22" s="154"/>
      <c r="I22" s="154"/>
      <c r="J22" s="154"/>
      <c r="K22" s="154"/>
      <c r="L22" s="154"/>
    </row>
    <row r="23" spans="2:15" ht="15" hidden="1" customHeight="1"/>
    <row r="24" spans="2:15" ht="15.75" hidden="1" customHeight="1">
      <c r="B24" s="1" t="s">
        <v>588</v>
      </c>
    </row>
    <row r="25" spans="2:15" ht="10.5" hidden="1" customHeight="1"/>
    <row r="26" spans="2:15" ht="15.75" hidden="1" customHeight="1">
      <c r="B26" s="1" t="s">
        <v>589</v>
      </c>
    </row>
    <row r="27" spans="2:15" ht="12.75" hidden="1" customHeight="1"/>
    <row r="28" spans="2:15" s="174" customFormat="1" ht="15" hidden="1" customHeight="1">
      <c r="B28" s="174" t="s">
        <v>456</v>
      </c>
      <c r="C28" s="174" t="s">
        <v>659</v>
      </c>
    </row>
    <row r="29" spans="2:15" ht="15" hidden="1" customHeight="1">
      <c r="B29" s="44" t="s">
        <v>457</v>
      </c>
    </row>
    <row r="30" spans="2:15" ht="15" hidden="1" customHeight="1">
      <c r="B30" s="44" t="s">
        <v>458</v>
      </c>
    </row>
    <row r="31" spans="2:15" ht="15" hidden="1" customHeight="1">
      <c r="B31" s="176" t="s">
        <v>590</v>
      </c>
    </row>
    <row r="32" spans="2:15" ht="25.5" hidden="1" customHeight="1">
      <c r="B32" s="848" t="s">
        <v>307</v>
      </c>
      <c r="C32" s="848" t="s">
        <v>465</v>
      </c>
      <c r="D32" s="848" t="s">
        <v>434</v>
      </c>
      <c r="E32" s="848"/>
      <c r="F32" s="848"/>
      <c r="G32" s="848"/>
      <c r="H32" s="848" t="s">
        <v>435</v>
      </c>
      <c r="I32" s="848"/>
      <c r="J32" s="848"/>
      <c r="K32" s="848"/>
      <c r="L32" s="848" t="s">
        <v>436</v>
      </c>
      <c r="M32" s="848"/>
      <c r="N32" s="848"/>
      <c r="O32" s="848"/>
    </row>
    <row r="33" spans="2:15" ht="25.5" hidden="1" customHeight="1">
      <c r="B33" s="848"/>
      <c r="C33" s="848"/>
      <c r="D33" s="848" t="s">
        <v>591</v>
      </c>
      <c r="E33" s="119" t="s">
        <v>592</v>
      </c>
      <c r="F33" s="971" t="s">
        <v>593</v>
      </c>
      <c r="G33" s="971" t="s">
        <v>468</v>
      </c>
      <c r="H33" s="971" t="s">
        <v>591</v>
      </c>
      <c r="I33" s="119" t="s">
        <v>592</v>
      </c>
      <c r="J33" s="848" t="s">
        <v>593</v>
      </c>
      <c r="K33" s="848" t="s">
        <v>468</v>
      </c>
      <c r="L33" s="848" t="s">
        <v>591</v>
      </c>
      <c r="M33" s="119" t="s">
        <v>592</v>
      </c>
      <c r="N33" s="848" t="s">
        <v>593</v>
      </c>
      <c r="O33" s="848" t="s">
        <v>468</v>
      </c>
    </row>
    <row r="34" spans="2:15" ht="15" hidden="1" customHeight="1">
      <c r="B34" s="848"/>
      <c r="C34" s="848"/>
      <c r="D34" s="848"/>
      <c r="E34" s="119" t="s">
        <v>594</v>
      </c>
      <c r="F34" s="971"/>
      <c r="G34" s="971"/>
      <c r="H34" s="971"/>
      <c r="I34" s="119" t="s">
        <v>594</v>
      </c>
      <c r="J34" s="848"/>
      <c r="K34" s="848"/>
      <c r="L34" s="848"/>
      <c r="M34" s="119" t="s">
        <v>594</v>
      </c>
      <c r="N34" s="848"/>
      <c r="O34" s="848"/>
    </row>
    <row r="35" spans="2:15" ht="15" hidden="1" customHeight="1">
      <c r="B35" s="119">
        <v>1</v>
      </c>
      <c r="C35" s="144" t="s">
        <v>595</v>
      </c>
      <c r="D35" s="119">
        <v>1</v>
      </c>
      <c r="E35" s="171">
        <f>G35/F35</f>
        <v>2905</v>
      </c>
      <c r="F35" s="321">
        <v>150</v>
      </c>
      <c r="G35" s="348">
        <v>435750</v>
      </c>
      <c r="H35" s="320">
        <v>1</v>
      </c>
      <c r="I35" s="171">
        <f>K35/J35</f>
        <v>1435.7</v>
      </c>
      <c r="J35" s="178">
        <v>150</v>
      </c>
      <c r="K35" s="137">
        <v>215351.84</v>
      </c>
      <c r="L35" s="119">
        <v>1</v>
      </c>
      <c r="M35" s="171">
        <f>O35/N35</f>
        <v>1235</v>
      </c>
      <c r="N35" s="178">
        <v>150</v>
      </c>
      <c r="O35" s="137">
        <v>185247.25</v>
      </c>
    </row>
    <row r="36" spans="2:15" ht="15" hidden="1" customHeight="1">
      <c r="B36" s="177"/>
      <c r="C36" s="188" t="s">
        <v>475</v>
      </c>
      <c r="D36" s="52">
        <f>D35</f>
        <v>1</v>
      </c>
      <c r="E36" s="325">
        <f t="shared" ref="E36:F36" si="0">E35</f>
        <v>2905</v>
      </c>
      <c r="F36" s="360">
        <f t="shared" si="0"/>
        <v>150</v>
      </c>
      <c r="G36" s="361">
        <f t="shared" ref="G36:O36" si="1">G35</f>
        <v>435750</v>
      </c>
      <c r="H36" s="354">
        <f t="shared" si="1"/>
        <v>1</v>
      </c>
      <c r="I36" s="52">
        <f t="shared" si="1"/>
        <v>1435.7</v>
      </c>
      <c r="J36" s="52">
        <f t="shared" si="1"/>
        <v>150</v>
      </c>
      <c r="K36" s="164">
        <f t="shared" si="1"/>
        <v>215351.84</v>
      </c>
      <c r="L36" s="52">
        <f t="shared" si="1"/>
        <v>1</v>
      </c>
      <c r="M36" s="52">
        <f t="shared" si="1"/>
        <v>1235</v>
      </c>
      <c r="N36" s="52">
        <f t="shared" si="1"/>
        <v>150</v>
      </c>
      <c r="O36" s="164">
        <f t="shared" si="1"/>
        <v>185247.25</v>
      </c>
    </row>
    <row r="37" spans="2:15" ht="15" hidden="1" customHeight="1">
      <c r="G37" s="138"/>
      <c r="K37" s="138"/>
      <c r="O37" s="138"/>
    </row>
    <row r="38" spans="2:15" s="174" customFormat="1" ht="15" hidden="1" customHeight="1">
      <c r="B38" s="175" t="s">
        <v>460</v>
      </c>
      <c r="C38" s="175"/>
      <c r="D38" s="175"/>
      <c r="E38" s="175"/>
      <c r="F38" s="175"/>
      <c r="G38" s="175"/>
      <c r="H38" s="175"/>
      <c r="I38" s="175"/>
      <c r="J38" s="175"/>
      <c r="K38" s="175"/>
      <c r="L38" s="175"/>
      <c r="M38" s="175"/>
      <c r="N38" s="175"/>
      <c r="O38" s="175"/>
    </row>
    <row r="39" spans="2:15" ht="15" hidden="1" customHeight="1">
      <c r="B39" s="44" t="s">
        <v>461</v>
      </c>
    </row>
    <row r="40" spans="2:15" ht="15" hidden="1" customHeight="1">
      <c r="B40" s="44" t="s">
        <v>462</v>
      </c>
    </row>
    <row r="41" spans="2:15" ht="15" hidden="1" customHeight="1">
      <c r="B41" s="176" t="s">
        <v>590</v>
      </c>
    </row>
    <row r="42" spans="2:15" ht="25.5" hidden="1" customHeight="1">
      <c r="B42" s="848" t="s">
        <v>307</v>
      </c>
      <c r="C42" s="848" t="s">
        <v>465</v>
      </c>
      <c r="D42" s="848" t="s">
        <v>434</v>
      </c>
      <c r="E42" s="848"/>
      <c r="F42" s="848"/>
      <c r="G42" s="848"/>
      <c r="H42" s="848" t="s">
        <v>435</v>
      </c>
      <c r="I42" s="848"/>
      <c r="J42" s="848"/>
      <c r="K42" s="848"/>
      <c r="L42" s="848" t="s">
        <v>436</v>
      </c>
      <c r="M42" s="848"/>
      <c r="N42" s="848"/>
      <c r="O42" s="848"/>
    </row>
    <row r="43" spans="2:15" ht="25.5" hidden="1" customHeight="1">
      <c r="B43" s="848"/>
      <c r="C43" s="848"/>
      <c r="D43" s="848" t="s">
        <v>591</v>
      </c>
      <c r="E43" s="119" t="s">
        <v>592</v>
      </c>
      <c r="F43" s="848" t="s">
        <v>593</v>
      </c>
      <c r="G43" s="848" t="s">
        <v>468</v>
      </c>
      <c r="H43" s="848" t="s">
        <v>591</v>
      </c>
      <c r="I43" s="119" t="s">
        <v>592</v>
      </c>
      <c r="J43" s="848" t="s">
        <v>593</v>
      </c>
      <c r="K43" s="848" t="s">
        <v>468</v>
      </c>
      <c r="L43" s="848" t="s">
        <v>591</v>
      </c>
      <c r="M43" s="119" t="s">
        <v>592</v>
      </c>
      <c r="N43" s="848" t="s">
        <v>593</v>
      </c>
      <c r="O43" s="848" t="s">
        <v>468</v>
      </c>
    </row>
    <row r="44" spans="2:15" ht="15" hidden="1" customHeight="1">
      <c r="B44" s="848"/>
      <c r="C44" s="848"/>
      <c r="D44" s="848"/>
      <c r="E44" s="119" t="s">
        <v>594</v>
      </c>
      <c r="F44" s="848"/>
      <c r="G44" s="848"/>
      <c r="H44" s="848"/>
      <c r="I44" s="119" t="s">
        <v>594</v>
      </c>
      <c r="J44" s="848"/>
      <c r="K44" s="848"/>
      <c r="L44" s="848"/>
      <c r="M44" s="119" t="s">
        <v>594</v>
      </c>
      <c r="N44" s="848"/>
      <c r="O44" s="848"/>
    </row>
    <row r="45" spans="2:15" ht="15" hidden="1" customHeight="1">
      <c r="B45" s="119">
        <v>1</v>
      </c>
      <c r="C45" s="144" t="s">
        <v>595</v>
      </c>
      <c r="D45" s="119">
        <v>1</v>
      </c>
      <c r="E45" s="171">
        <f>G45/F45</f>
        <v>2388</v>
      </c>
      <c r="F45" s="178">
        <v>150</v>
      </c>
      <c r="G45" s="137">
        <v>358197.09</v>
      </c>
      <c r="H45" s="119">
        <v>1</v>
      </c>
      <c r="I45" s="171">
        <f>K45/J45</f>
        <v>3002.5</v>
      </c>
      <c r="J45" s="178">
        <v>150</v>
      </c>
      <c r="K45" s="137">
        <v>450378.96</v>
      </c>
      <c r="L45" s="119">
        <v>1</v>
      </c>
      <c r="M45" s="171">
        <f>O45/N45</f>
        <v>3203.2</v>
      </c>
      <c r="N45" s="178">
        <v>150</v>
      </c>
      <c r="O45" s="137">
        <v>480483.55</v>
      </c>
    </row>
    <row r="46" spans="2:15" ht="15" hidden="1" customHeight="1">
      <c r="B46" s="177"/>
      <c r="C46" s="188" t="s">
        <v>475</v>
      </c>
      <c r="D46" s="52">
        <f>D45</f>
        <v>1</v>
      </c>
      <c r="E46" s="325">
        <f>E45</f>
        <v>2388</v>
      </c>
      <c r="F46" s="189">
        <f t="shared" ref="F46" si="2">F45</f>
        <v>150</v>
      </c>
      <c r="G46" s="219">
        <f>G45</f>
        <v>358197.09</v>
      </c>
      <c r="H46" s="52">
        <f>H45</f>
        <v>1</v>
      </c>
      <c r="I46" s="52">
        <f t="shared" ref="I46:J46" si="3">I45</f>
        <v>3002.5</v>
      </c>
      <c r="J46" s="52">
        <f t="shared" si="3"/>
        <v>150</v>
      </c>
      <c r="K46" s="164">
        <f>K45</f>
        <v>450378.96</v>
      </c>
      <c r="L46" s="52">
        <f>L45</f>
        <v>1</v>
      </c>
      <c r="M46" s="52">
        <f t="shared" ref="M46:N46" si="4">M45</f>
        <v>3203.2</v>
      </c>
      <c r="N46" s="52">
        <f t="shared" si="4"/>
        <v>150</v>
      </c>
      <c r="O46" s="164">
        <f>O45</f>
        <v>480483.55</v>
      </c>
    </row>
    <row r="47" spans="2:15" ht="15" hidden="1" customHeight="1">
      <c r="G47" s="138"/>
      <c r="K47" s="138"/>
      <c r="O47" s="138"/>
    </row>
    <row r="48" spans="2:15" ht="15.75" hidden="1" customHeight="1">
      <c r="B48" s="1" t="s">
        <v>596</v>
      </c>
    </row>
    <row r="49" spans="2:17" ht="15" hidden="1" customHeight="1"/>
    <row r="50" spans="2:17" s="174" customFormat="1" ht="15" hidden="1" customHeight="1">
      <c r="B50" s="174" t="s">
        <v>456</v>
      </c>
      <c r="N50" s="44"/>
      <c r="O50" s="44"/>
    </row>
    <row r="51" spans="2:17" ht="15" hidden="1" customHeight="1">
      <c r="B51" s="44" t="s">
        <v>457</v>
      </c>
    </row>
    <row r="52" spans="2:17" ht="15" hidden="1" customHeight="1">
      <c r="B52" s="44" t="s">
        <v>458</v>
      </c>
    </row>
    <row r="53" spans="2:17" ht="15" hidden="1" customHeight="1">
      <c r="B53" s="176" t="s">
        <v>597</v>
      </c>
    </row>
    <row r="54" spans="2:17" ht="14.25" hidden="1" customHeight="1">
      <c r="B54" s="848" t="s">
        <v>307</v>
      </c>
      <c r="C54" s="848" t="s">
        <v>465</v>
      </c>
      <c r="D54" s="848" t="s">
        <v>598</v>
      </c>
      <c r="E54" s="848" t="s">
        <v>434</v>
      </c>
      <c r="F54" s="848"/>
      <c r="G54" s="848"/>
      <c r="H54" s="848" t="s">
        <v>435</v>
      </c>
      <c r="I54" s="848"/>
      <c r="J54" s="848"/>
      <c r="K54" s="848" t="s">
        <v>436</v>
      </c>
      <c r="L54" s="848"/>
      <c r="M54" s="848"/>
    </row>
    <row r="55" spans="2:17" ht="14.25" hidden="1" customHeight="1">
      <c r="B55" s="848"/>
      <c r="C55" s="848"/>
      <c r="D55" s="848"/>
      <c r="E55" s="848" t="s">
        <v>599</v>
      </c>
      <c r="F55" s="848" t="s">
        <v>523</v>
      </c>
      <c r="G55" s="848" t="s">
        <v>468</v>
      </c>
      <c r="H55" s="848" t="s">
        <v>599</v>
      </c>
      <c r="I55" s="848" t="s">
        <v>523</v>
      </c>
      <c r="J55" s="848" t="s">
        <v>468</v>
      </c>
      <c r="K55" s="848" t="s">
        <v>599</v>
      </c>
      <c r="L55" s="848" t="s">
        <v>523</v>
      </c>
      <c r="M55" s="848" t="s">
        <v>468</v>
      </c>
    </row>
    <row r="56" spans="2:17" ht="14.25" hidden="1" customHeight="1">
      <c r="B56" s="848"/>
      <c r="C56" s="848"/>
      <c r="D56" s="848"/>
      <c r="E56" s="848"/>
      <c r="F56" s="848"/>
      <c r="G56" s="848"/>
      <c r="H56" s="848"/>
      <c r="I56" s="848"/>
      <c r="J56" s="848"/>
      <c r="K56" s="848"/>
      <c r="L56" s="848"/>
      <c r="M56" s="848"/>
    </row>
    <row r="57" spans="2:17" ht="38.25" hidden="1" customHeight="1">
      <c r="B57" s="119">
        <v>1</v>
      </c>
      <c r="C57" s="144" t="s">
        <v>600</v>
      </c>
      <c r="D57" s="119" t="s">
        <v>601</v>
      </c>
      <c r="E57" s="119">
        <v>12</v>
      </c>
      <c r="F57" s="137">
        <f t="shared" ref="F57:F66" si="5">G57/E57</f>
        <v>2111.4499999999998</v>
      </c>
      <c r="G57" s="137">
        <v>25337.4</v>
      </c>
      <c r="H57" s="119">
        <v>12</v>
      </c>
      <c r="I57" s="137">
        <v>1191.19</v>
      </c>
      <c r="J57" s="137">
        <v>17950.7</v>
      </c>
      <c r="K57" s="119">
        <v>12</v>
      </c>
      <c r="L57" s="137">
        <v>1191.19</v>
      </c>
      <c r="M57" s="137">
        <v>17950.7</v>
      </c>
    </row>
    <row r="58" spans="2:17" ht="15" hidden="1" customHeight="1">
      <c r="B58" s="119">
        <v>2</v>
      </c>
      <c r="C58" s="144" t="s">
        <v>602</v>
      </c>
      <c r="D58" s="119" t="s">
        <v>577</v>
      </c>
      <c r="E58" s="119">
        <v>12</v>
      </c>
      <c r="F58" s="137">
        <f t="shared" si="5"/>
        <v>4347.6000000000004</v>
      </c>
      <c r="G58" s="137">
        <v>52171.199999999997</v>
      </c>
      <c r="H58" s="119">
        <v>12</v>
      </c>
      <c r="I58" s="137">
        <f t="shared" ref="I58:I63" si="6">J58/H58</f>
        <v>4347.6000000000004</v>
      </c>
      <c r="J58" s="137">
        <v>52171.199999999997</v>
      </c>
      <c r="K58" s="119">
        <v>12</v>
      </c>
      <c r="L58" s="137">
        <f t="shared" ref="L58:L63" si="7">M58/K58</f>
        <v>4347.6000000000004</v>
      </c>
      <c r="M58" s="137">
        <v>52171.199999999997</v>
      </c>
    </row>
    <row r="59" spans="2:17" ht="15" hidden="1" customHeight="1">
      <c r="B59" s="119">
        <v>3</v>
      </c>
      <c r="C59" s="144" t="s">
        <v>603</v>
      </c>
      <c r="D59" s="119" t="s">
        <v>577</v>
      </c>
      <c r="E59" s="119">
        <v>0</v>
      </c>
      <c r="F59" s="137">
        <v>0</v>
      </c>
      <c r="G59" s="137">
        <v>0</v>
      </c>
      <c r="H59" s="119">
        <v>1</v>
      </c>
      <c r="I59" s="137">
        <f t="shared" si="6"/>
        <v>100000</v>
      </c>
      <c r="J59" s="137">
        <v>100000</v>
      </c>
      <c r="K59" s="119">
        <v>1</v>
      </c>
      <c r="L59" s="137">
        <f t="shared" si="7"/>
        <v>100000</v>
      </c>
      <c r="M59" s="137">
        <v>100000</v>
      </c>
    </row>
    <row r="60" spans="2:17" ht="25.5" hidden="1" customHeight="1">
      <c r="B60" s="119">
        <v>4</v>
      </c>
      <c r="C60" s="144" t="s">
        <v>604</v>
      </c>
      <c r="D60" s="119" t="s">
        <v>577</v>
      </c>
      <c r="E60" s="119">
        <v>1</v>
      </c>
      <c r="F60" s="137">
        <f t="shared" si="5"/>
        <v>11515.25</v>
      </c>
      <c r="G60" s="137">
        <f>14403.3-2888.05</f>
        <v>11515.25</v>
      </c>
      <c r="H60" s="119">
        <v>1</v>
      </c>
      <c r="I60" s="137">
        <f t="shared" si="6"/>
        <v>21790</v>
      </c>
      <c r="J60" s="137">
        <v>21790</v>
      </c>
      <c r="K60" s="119">
        <v>1</v>
      </c>
      <c r="L60" s="137">
        <f t="shared" si="7"/>
        <v>21790</v>
      </c>
      <c r="M60" s="137">
        <v>21790</v>
      </c>
    </row>
    <row r="61" spans="2:17" ht="15" hidden="1" customHeight="1">
      <c r="B61" s="119">
        <v>5</v>
      </c>
      <c r="C61" s="144" t="s">
        <v>605</v>
      </c>
      <c r="D61" s="119" t="s">
        <v>577</v>
      </c>
      <c r="E61" s="119">
        <v>12</v>
      </c>
      <c r="F61" s="137">
        <f t="shared" si="5"/>
        <v>3058.15</v>
      </c>
      <c r="G61" s="137">
        <v>36697.800000000003</v>
      </c>
      <c r="H61" s="119">
        <v>12</v>
      </c>
      <c r="I61" s="137">
        <f t="shared" si="6"/>
        <v>2780.14</v>
      </c>
      <c r="J61" s="137">
        <v>33361.68</v>
      </c>
      <c r="K61" s="119">
        <v>12</v>
      </c>
      <c r="L61" s="137">
        <f t="shared" si="7"/>
        <v>2780.14</v>
      </c>
      <c r="M61" s="137">
        <v>33361.68</v>
      </c>
    </row>
    <row r="62" spans="2:17" ht="25.5" hidden="1" customHeight="1">
      <c r="B62" s="119">
        <v>6</v>
      </c>
      <c r="C62" s="144" t="s">
        <v>606</v>
      </c>
      <c r="D62" s="119" t="s">
        <v>577</v>
      </c>
      <c r="E62" s="119">
        <v>12</v>
      </c>
      <c r="F62" s="137">
        <f t="shared" si="5"/>
        <v>8333.33</v>
      </c>
      <c r="G62" s="137">
        <v>99999.96</v>
      </c>
      <c r="H62" s="119">
        <v>12</v>
      </c>
      <c r="I62" s="137">
        <f t="shared" si="6"/>
        <v>8333.33</v>
      </c>
      <c r="J62" s="137">
        <v>99999.96</v>
      </c>
      <c r="K62" s="119">
        <v>12</v>
      </c>
      <c r="L62" s="137">
        <f t="shared" si="7"/>
        <v>8333.33</v>
      </c>
      <c r="M62" s="137">
        <v>99999.96</v>
      </c>
    </row>
    <row r="63" spans="2:17" ht="38.25" hidden="1" customHeight="1">
      <c r="B63" s="119">
        <v>7</v>
      </c>
      <c r="C63" s="144" t="s">
        <v>607</v>
      </c>
      <c r="D63" s="119" t="s">
        <v>577</v>
      </c>
      <c r="E63" s="119">
        <v>0</v>
      </c>
      <c r="F63" s="137">
        <v>0</v>
      </c>
      <c r="G63" s="137">
        <v>0</v>
      </c>
      <c r="H63" s="119">
        <v>1</v>
      </c>
      <c r="I63" s="137">
        <f t="shared" si="6"/>
        <v>9933.32</v>
      </c>
      <c r="J63" s="137">
        <v>9933.32</v>
      </c>
      <c r="K63" s="119">
        <v>1</v>
      </c>
      <c r="L63" s="137">
        <f t="shared" si="7"/>
        <v>9933.32</v>
      </c>
      <c r="M63" s="137">
        <v>9933.32</v>
      </c>
    </row>
    <row r="64" spans="2:17" s="180" customFormat="1" ht="51" hidden="1" customHeight="1">
      <c r="B64" s="316">
        <v>8</v>
      </c>
      <c r="C64" s="317" t="s">
        <v>719</v>
      </c>
      <c r="D64" s="316" t="s">
        <v>577</v>
      </c>
      <c r="E64" s="316">
        <v>1</v>
      </c>
      <c r="F64" s="219">
        <f t="shared" si="5"/>
        <v>32389</v>
      </c>
      <c r="G64" s="219">
        <v>32389</v>
      </c>
      <c r="H64" s="316">
        <v>0</v>
      </c>
      <c r="I64" s="219">
        <v>0</v>
      </c>
      <c r="J64" s="219">
        <v>0</v>
      </c>
      <c r="K64" s="316">
        <v>0</v>
      </c>
      <c r="L64" s="219">
        <v>0</v>
      </c>
      <c r="M64" s="219">
        <v>0</v>
      </c>
      <c r="Q64" s="180" t="s">
        <v>608</v>
      </c>
    </row>
    <row r="65" spans="2:15" s="257" customFormat="1" ht="38.25" hidden="1" customHeight="1">
      <c r="B65" s="311">
        <v>12</v>
      </c>
      <c r="C65" s="318" t="s">
        <v>609</v>
      </c>
      <c r="D65" s="311" t="s">
        <v>577</v>
      </c>
      <c r="E65" s="311">
        <v>0</v>
      </c>
      <c r="F65" s="319">
        <v>0</v>
      </c>
      <c r="G65" s="319">
        <v>0</v>
      </c>
      <c r="H65" s="311">
        <v>0</v>
      </c>
      <c r="I65" s="319">
        <v>0</v>
      </c>
      <c r="J65" s="319">
        <v>0</v>
      </c>
      <c r="K65" s="311">
        <v>0</v>
      </c>
      <c r="L65" s="319">
        <v>0</v>
      </c>
      <c r="M65" s="319">
        <v>0</v>
      </c>
    </row>
    <row r="66" spans="2:15" ht="25.5" hidden="1" customHeight="1">
      <c r="B66" s="320">
        <v>9</v>
      </c>
      <c r="C66" s="344" t="s">
        <v>610</v>
      </c>
      <c r="D66" s="320" t="s">
        <v>577</v>
      </c>
      <c r="E66" s="353">
        <v>12</v>
      </c>
      <c r="F66" s="348">
        <f t="shared" si="5"/>
        <v>14909</v>
      </c>
      <c r="G66" s="348">
        <f>90000+88908</f>
        <v>178908</v>
      </c>
      <c r="H66" s="353">
        <f>J66/I66</f>
        <v>12</v>
      </c>
      <c r="I66" s="348">
        <v>15000</v>
      </c>
      <c r="J66" s="137">
        <v>180000</v>
      </c>
      <c r="K66" s="169">
        <f>M66/L66</f>
        <v>12</v>
      </c>
      <c r="L66" s="137">
        <v>15000</v>
      </c>
      <c r="M66" s="137">
        <v>180000</v>
      </c>
    </row>
    <row r="67" spans="2:15" s="180" customFormat="1" ht="32.25" hidden="1" customHeight="1">
      <c r="B67" s="566">
        <v>10</v>
      </c>
      <c r="C67" s="567" t="s">
        <v>611</v>
      </c>
      <c r="D67" s="566" t="s">
        <v>612</v>
      </c>
      <c r="E67" s="568">
        <v>840.6</v>
      </c>
      <c r="F67" s="569">
        <v>11400</v>
      </c>
      <c r="G67" s="569">
        <f>E67*F67</f>
        <v>9582840</v>
      </c>
      <c r="H67" s="568">
        <v>840.6</v>
      </c>
      <c r="I67" s="569">
        <v>11400</v>
      </c>
      <c r="J67" s="570">
        <f>H67*I67</f>
        <v>9582840</v>
      </c>
      <c r="K67" s="571">
        <v>840.6</v>
      </c>
      <c r="L67" s="570">
        <f>M67/K67</f>
        <v>3951.97</v>
      </c>
      <c r="M67" s="570">
        <v>3322023.42</v>
      </c>
    </row>
    <row r="68" spans="2:15" s="180" customFormat="1" ht="36" hidden="1" customHeight="1">
      <c r="B68" s="566">
        <v>11</v>
      </c>
      <c r="C68" s="567" t="s">
        <v>611</v>
      </c>
      <c r="D68" s="566" t="s">
        <v>612</v>
      </c>
      <c r="E68" s="568">
        <v>324.39999999999998</v>
      </c>
      <c r="F68" s="569">
        <v>8772</v>
      </c>
      <c r="G68" s="569">
        <f>E68*F68</f>
        <v>2845636.8</v>
      </c>
      <c r="H68" s="568">
        <v>324.39999999999998</v>
      </c>
      <c r="I68" s="569">
        <v>8772</v>
      </c>
      <c r="J68" s="570">
        <f>H68*I68</f>
        <v>2845636.8</v>
      </c>
      <c r="K68" s="571">
        <v>324.39999999999998</v>
      </c>
      <c r="L68" s="570">
        <f>M68/K68</f>
        <v>4312.62</v>
      </c>
      <c r="M68" s="570">
        <v>1399014.96</v>
      </c>
    </row>
    <row r="69" spans="2:15" ht="38.25" hidden="1" customHeight="1">
      <c r="B69" s="320">
        <v>12</v>
      </c>
      <c r="C69" s="344" t="s">
        <v>713</v>
      </c>
      <c r="D69" s="320" t="s">
        <v>612</v>
      </c>
      <c r="E69" s="357" t="s">
        <v>32</v>
      </c>
      <c r="F69" s="348" t="s">
        <v>32</v>
      </c>
      <c r="G69" s="348">
        <v>2200</v>
      </c>
      <c r="H69" s="357" t="s">
        <v>32</v>
      </c>
      <c r="I69" s="348" t="s">
        <v>32</v>
      </c>
      <c r="J69" s="137">
        <v>0</v>
      </c>
      <c r="K69" s="171" t="s">
        <v>32</v>
      </c>
      <c r="L69" s="137" t="s">
        <v>32</v>
      </c>
      <c r="M69" s="137">
        <v>0</v>
      </c>
    </row>
    <row r="70" spans="2:15" ht="15" hidden="1" customHeight="1">
      <c r="B70" s="358"/>
      <c r="C70" s="359" t="s">
        <v>475</v>
      </c>
      <c r="D70" s="356" t="s">
        <v>32</v>
      </c>
      <c r="E70" s="356" t="s">
        <v>32</v>
      </c>
      <c r="F70" s="356" t="s">
        <v>32</v>
      </c>
      <c r="G70" s="348">
        <f>SUM(G57:G69)</f>
        <v>12867695.41</v>
      </c>
      <c r="H70" s="356" t="s">
        <v>32</v>
      </c>
      <c r="I70" s="356" t="s">
        <v>32</v>
      </c>
      <c r="J70" s="137">
        <f>SUM(J57:J69)</f>
        <v>12943683.66</v>
      </c>
      <c r="K70" s="137" t="s">
        <v>32</v>
      </c>
      <c r="L70" s="137" t="s">
        <v>32</v>
      </c>
      <c r="M70" s="137">
        <f>SUM(M57:M69)</f>
        <v>5236245.24</v>
      </c>
      <c r="O70" s="190"/>
    </row>
    <row r="71" spans="2:15" ht="15" hidden="1" customHeight="1">
      <c r="B71" s="118"/>
      <c r="C71" s="145"/>
      <c r="D71" s="118"/>
      <c r="E71" s="118"/>
      <c r="F71" s="146"/>
      <c r="G71" s="146"/>
      <c r="H71" s="118"/>
      <c r="I71" s="146"/>
      <c r="J71" s="146"/>
      <c r="K71" s="118"/>
      <c r="L71" s="146"/>
      <c r="M71" s="146"/>
    </row>
    <row r="72" spans="2:15" s="174" customFormat="1" ht="15" hidden="1" customHeight="1">
      <c r="B72" s="523" t="s">
        <v>456</v>
      </c>
      <c r="C72" s="541"/>
      <c r="D72" s="542"/>
      <c r="E72" s="542"/>
      <c r="F72" s="543"/>
      <c r="G72" s="543"/>
      <c r="H72" s="542"/>
      <c r="I72" s="543"/>
      <c r="J72" s="543"/>
      <c r="K72" s="542"/>
      <c r="L72" s="543"/>
      <c r="M72" s="543"/>
      <c r="N72" s="44"/>
      <c r="O72" s="44"/>
    </row>
    <row r="73" spans="2:15" ht="15" hidden="1" customHeight="1">
      <c r="B73" s="381" t="s">
        <v>457</v>
      </c>
      <c r="C73" s="544"/>
      <c r="D73" s="545"/>
      <c r="E73" s="545"/>
      <c r="F73" s="532"/>
      <c r="G73" s="532"/>
      <c r="H73" s="545"/>
      <c r="I73" s="532"/>
      <c r="J73" s="532"/>
      <c r="K73" s="545"/>
      <c r="L73" s="532"/>
      <c r="M73" s="532"/>
    </row>
    <row r="74" spans="2:15" ht="15" hidden="1" customHeight="1">
      <c r="B74" s="381" t="s">
        <v>458</v>
      </c>
      <c r="C74" s="544"/>
      <c r="D74" s="545"/>
      <c r="E74" s="545"/>
      <c r="F74" s="532"/>
      <c r="G74" s="532"/>
      <c r="H74" s="545"/>
      <c r="I74" s="532"/>
      <c r="J74" s="532"/>
      <c r="K74" s="545"/>
      <c r="L74" s="532"/>
      <c r="M74" s="532"/>
    </row>
    <row r="75" spans="2:15" ht="15" hidden="1" customHeight="1">
      <c r="B75" s="529" t="s">
        <v>826</v>
      </c>
      <c r="C75" s="544"/>
      <c r="D75" s="545"/>
      <c r="E75" s="545"/>
      <c r="F75" s="532"/>
      <c r="G75" s="532"/>
      <c r="H75" s="545"/>
      <c r="I75" s="532"/>
      <c r="J75" s="532"/>
      <c r="K75" s="545"/>
      <c r="L75" s="532"/>
      <c r="M75" s="532"/>
    </row>
    <row r="76" spans="2:15" ht="14.25" hidden="1" customHeight="1">
      <c r="B76" s="866" t="s">
        <v>307</v>
      </c>
      <c r="C76" s="866" t="s">
        <v>465</v>
      </c>
      <c r="D76" s="866" t="s">
        <v>598</v>
      </c>
      <c r="E76" s="866" t="s">
        <v>434</v>
      </c>
      <c r="F76" s="866"/>
      <c r="G76" s="866"/>
      <c r="H76" s="866" t="s">
        <v>435</v>
      </c>
      <c r="I76" s="866"/>
      <c r="J76" s="866"/>
      <c r="K76" s="866" t="s">
        <v>436</v>
      </c>
      <c r="L76" s="866"/>
      <c r="M76" s="866"/>
    </row>
    <row r="77" spans="2:15" ht="14.25" hidden="1" customHeight="1">
      <c r="B77" s="866"/>
      <c r="C77" s="866"/>
      <c r="D77" s="866"/>
      <c r="E77" s="866" t="s">
        <v>599</v>
      </c>
      <c r="F77" s="972" t="s">
        <v>613</v>
      </c>
      <c r="G77" s="972" t="s">
        <v>468</v>
      </c>
      <c r="H77" s="972" t="s">
        <v>599</v>
      </c>
      <c r="I77" s="866" t="s">
        <v>613</v>
      </c>
      <c r="J77" s="866" t="s">
        <v>468</v>
      </c>
      <c r="K77" s="866" t="s">
        <v>599</v>
      </c>
      <c r="L77" s="866" t="s">
        <v>613</v>
      </c>
      <c r="M77" s="866" t="s">
        <v>468</v>
      </c>
    </row>
    <row r="78" spans="2:15" ht="27" hidden="1" customHeight="1">
      <c r="B78" s="866"/>
      <c r="C78" s="866"/>
      <c r="D78" s="866"/>
      <c r="E78" s="866"/>
      <c r="F78" s="972"/>
      <c r="G78" s="972"/>
      <c r="H78" s="972"/>
      <c r="I78" s="866"/>
      <c r="J78" s="866"/>
      <c r="K78" s="866"/>
      <c r="L78" s="866"/>
      <c r="M78" s="866"/>
    </row>
    <row r="79" spans="2:15" ht="38.25" hidden="1" customHeight="1">
      <c r="B79" s="524">
        <v>1</v>
      </c>
      <c r="C79" s="526" t="s">
        <v>803</v>
      </c>
      <c r="D79" s="524" t="s">
        <v>577</v>
      </c>
      <c r="E79" s="524">
        <v>22</v>
      </c>
      <c r="F79" s="527">
        <f>G79/E79</f>
        <v>98878</v>
      </c>
      <c r="G79" s="527">
        <v>2175316.06</v>
      </c>
      <c r="H79" s="525">
        <v>20</v>
      </c>
      <c r="I79" s="530">
        <f>J79/H79</f>
        <v>108439.37</v>
      </c>
      <c r="J79" s="530">
        <v>2168787.38</v>
      </c>
      <c r="K79" s="524">
        <v>20</v>
      </c>
      <c r="L79" s="530">
        <f>M79/K79</f>
        <v>114725.14</v>
      </c>
      <c r="M79" s="530">
        <v>2294502.7799999998</v>
      </c>
    </row>
    <row r="80" spans="2:15" ht="15" hidden="1" customHeight="1">
      <c r="B80" s="528"/>
      <c r="C80" s="546" t="s">
        <v>475</v>
      </c>
      <c r="D80" s="547" t="s">
        <v>32</v>
      </c>
      <c r="E80" s="548" t="s">
        <v>32</v>
      </c>
      <c r="F80" s="549" t="s">
        <v>32</v>
      </c>
      <c r="G80" s="527">
        <f>SUM(G79)</f>
        <v>2175316.06</v>
      </c>
      <c r="H80" s="549" t="s">
        <v>32</v>
      </c>
      <c r="I80" s="548" t="s">
        <v>32</v>
      </c>
      <c r="J80" s="530">
        <f>SUM(J79)</f>
        <v>2168787.38</v>
      </c>
      <c r="K80" s="548" t="s">
        <v>32</v>
      </c>
      <c r="L80" s="548" t="s">
        <v>32</v>
      </c>
      <c r="M80" s="530">
        <f>SUM(M79)</f>
        <v>2294502.7799999998</v>
      </c>
      <c r="O80" s="190"/>
    </row>
    <row r="81" spans="2:15" ht="15" hidden="1" customHeight="1">
      <c r="B81" s="176"/>
      <c r="C81" s="191"/>
      <c r="G81" s="146"/>
      <c r="J81" s="146"/>
      <c r="K81" s="146"/>
      <c r="L81" s="146"/>
      <c r="M81" s="146"/>
      <c r="O81" s="190"/>
    </row>
    <row r="82" spans="2:15" s="180" customFormat="1" ht="15" hidden="1" customHeight="1">
      <c r="B82" s="118"/>
      <c r="C82" s="145"/>
      <c r="D82" s="118"/>
      <c r="E82" s="118"/>
      <c r="F82" s="179"/>
      <c r="G82" s="179"/>
      <c r="H82" s="118"/>
      <c r="I82" s="179"/>
      <c r="J82" s="179"/>
      <c r="K82" s="118"/>
      <c r="L82" s="179"/>
      <c r="M82" s="179"/>
    </row>
    <row r="83" spans="2:15" s="180" customFormat="1" ht="15" hidden="1" customHeight="1">
      <c r="B83" s="175" t="s">
        <v>460</v>
      </c>
      <c r="C83" s="175"/>
      <c r="D83" s="175"/>
      <c r="E83" s="175"/>
      <c r="F83" s="175"/>
      <c r="G83" s="175"/>
      <c r="H83" s="175"/>
      <c r="I83" s="175"/>
      <c r="J83" s="175"/>
      <c r="K83" s="175"/>
      <c r="L83" s="175"/>
      <c r="M83" s="175"/>
    </row>
    <row r="84" spans="2:15" s="180" customFormat="1" ht="15" hidden="1" customHeight="1">
      <c r="B84" s="180" t="s">
        <v>461</v>
      </c>
    </row>
    <row r="85" spans="2:15" s="180" customFormat="1" ht="15" hidden="1" customHeight="1">
      <c r="B85" s="176" t="s">
        <v>714</v>
      </c>
      <c r="C85" s="145"/>
      <c r="D85" s="118"/>
      <c r="E85" s="118"/>
      <c r="F85" s="179"/>
      <c r="G85" s="179"/>
      <c r="H85" s="118"/>
      <c r="I85" s="179"/>
      <c r="J85" s="179"/>
      <c r="K85" s="118"/>
      <c r="L85" s="179"/>
      <c r="M85" s="179"/>
    </row>
    <row r="86" spans="2:15" s="180" customFormat="1" ht="14.25" hidden="1" customHeight="1">
      <c r="B86" s="848" t="s">
        <v>307</v>
      </c>
      <c r="C86" s="848" t="s">
        <v>465</v>
      </c>
      <c r="D86" s="848" t="s">
        <v>598</v>
      </c>
      <c r="E86" s="848" t="s">
        <v>434</v>
      </c>
      <c r="F86" s="848"/>
      <c r="G86" s="848"/>
      <c r="H86" s="848" t="s">
        <v>435</v>
      </c>
      <c r="I86" s="848"/>
      <c r="J86" s="848"/>
      <c r="K86" s="848" t="s">
        <v>436</v>
      </c>
      <c r="L86" s="848"/>
      <c r="M86" s="848"/>
    </row>
    <row r="87" spans="2:15" s="180" customFormat="1" ht="14.25" hidden="1" customHeight="1">
      <c r="B87" s="848"/>
      <c r="C87" s="848"/>
      <c r="D87" s="848"/>
      <c r="E87" s="848" t="s">
        <v>599</v>
      </c>
      <c r="F87" s="848" t="s">
        <v>613</v>
      </c>
      <c r="G87" s="848" t="s">
        <v>468</v>
      </c>
      <c r="H87" s="848" t="s">
        <v>599</v>
      </c>
      <c r="I87" s="848" t="s">
        <v>613</v>
      </c>
      <c r="J87" s="848" t="s">
        <v>468</v>
      </c>
      <c r="K87" s="848" t="s">
        <v>599</v>
      </c>
      <c r="L87" s="848" t="s">
        <v>613</v>
      </c>
      <c r="M87" s="848" t="s">
        <v>468</v>
      </c>
    </row>
    <row r="88" spans="2:15" s="180" customFormat="1" ht="27" hidden="1" customHeight="1">
      <c r="B88" s="848"/>
      <c r="C88" s="848"/>
      <c r="D88" s="848"/>
      <c r="E88" s="848"/>
      <c r="F88" s="848"/>
      <c r="G88" s="848"/>
      <c r="H88" s="848"/>
      <c r="I88" s="848"/>
      <c r="J88" s="848"/>
      <c r="K88" s="848"/>
      <c r="L88" s="848"/>
      <c r="M88" s="848"/>
    </row>
    <row r="89" spans="2:15" s="180" customFormat="1" ht="38.25" hidden="1" customHeight="1">
      <c r="B89" s="316">
        <v>1</v>
      </c>
      <c r="C89" s="317" t="s">
        <v>718</v>
      </c>
      <c r="D89" s="316" t="s">
        <v>577</v>
      </c>
      <c r="E89" s="316">
        <v>7</v>
      </c>
      <c r="F89" s="219">
        <f t="shared" ref="F89" si="8">G89/E89</f>
        <v>107142.86</v>
      </c>
      <c r="G89" s="219">
        <v>750000</v>
      </c>
      <c r="H89" s="316">
        <v>0</v>
      </c>
      <c r="I89" s="219">
        <v>0</v>
      </c>
      <c r="J89" s="219">
        <v>0</v>
      </c>
      <c r="K89" s="316">
        <v>0</v>
      </c>
      <c r="L89" s="219">
        <v>0</v>
      </c>
      <c r="M89" s="219">
        <v>0</v>
      </c>
    </row>
    <row r="90" spans="2:15" s="180" customFormat="1" ht="15" hidden="1" customHeight="1">
      <c r="B90" s="177"/>
      <c r="C90" s="188" t="s">
        <v>475</v>
      </c>
      <c r="D90" s="52" t="s">
        <v>32</v>
      </c>
      <c r="E90" s="162" t="s">
        <v>32</v>
      </c>
      <c r="F90" s="162" t="s">
        <v>32</v>
      </c>
      <c r="G90" s="219">
        <f>SUM(G89)</f>
        <v>750000</v>
      </c>
      <c r="H90" s="162" t="s">
        <v>32</v>
      </c>
      <c r="I90" s="162" t="s">
        <v>32</v>
      </c>
      <c r="J90" s="219">
        <f>SUM(J89)</f>
        <v>0</v>
      </c>
      <c r="K90" s="162" t="s">
        <v>32</v>
      </c>
      <c r="L90" s="162" t="s">
        <v>32</v>
      </c>
      <c r="M90" s="219">
        <f>SUM(M89)</f>
        <v>0</v>
      </c>
      <c r="O90" s="190"/>
    </row>
    <row r="91" spans="2:15" s="180" customFormat="1" ht="15" hidden="1" customHeight="1">
      <c r="B91" s="176"/>
      <c r="C91" s="191"/>
      <c r="G91" s="179"/>
      <c r="J91" s="179"/>
      <c r="K91" s="179"/>
      <c r="L91" s="179"/>
      <c r="M91" s="179"/>
      <c r="O91" s="190"/>
    </row>
    <row r="92" spans="2:15" ht="15" hidden="1" customHeight="1">
      <c r="B92" s="175" t="s">
        <v>460</v>
      </c>
      <c r="C92" s="175"/>
      <c r="D92" s="175"/>
      <c r="E92" s="175"/>
      <c r="F92" s="175"/>
      <c r="G92" s="175"/>
      <c r="H92" s="175"/>
      <c r="I92" s="175"/>
      <c r="J92" s="175"/>
      <c r="K92" s="175"/>
      <c r="L92" s="175"/>
      <c r="M92" s="175"/>
    </row>
    <row r="93" spans="2:15" ht="15" hidden="1" customHeight="1">
      <c r="B93" s="44" t="s">
        <v>461</v>
      </c>
    </row>
    <row r="94" spans="2:15" ht="15" hidden="1" customHeight="1">
      <c r="B94" s="44" t="s">
        <v>590</v>
      </c>
    </row>
    <row r="95" spans="2:15" ht="16.5" hidden="1" customHeight="1">
      <c r="B95" s="848" t="s">
        <v>307</v>
      </c>
      <c r="C95" s="848" t="s">
        <v>465</v>
      </c>
      <c r="D95" s="848" t="s">
        <v>598</v>
      </c>
      <c r="E95" s="848" t="s">
        <v>434</v>
      </c>
      <c r="F95" s="848"/>
      <c r="G95" s="848"/>
      <c r="H95" s="848" t="s">
        <v>435</v>
      </c>
      <c r="I95" s="848"/>
      <c r="J95" s="848"/>
      <c r="K95" s="848" t="s">
        <v>436</v>
      </c>
      <c r="L95" s="848"/>
      <c r="M95" s="848"/>
    </row>
    <row r="96" spans="2:15" ht="25.5" hidden="1" customHeight="1">
      <c r="B96" s="848"/>
      <c r="C96" s="848"/>
      <c r="D96" s="848"/>
      <c r="E96" s="338" t="s">
        <v>599</v>
      </c>
      <c r="F96" s="338" t="s">
        <v>523</v>
      </c>
      <c r="G96" s="338" t="s">
        <v>468</v>
      </c>
      <c r="H96" s="338" t="s">
        <v>599</v>
      </c>
      <c r="I96" s="338" t="s">
        <v>523</v>
      </c>
      <c r="J96" s="338" t="s">
        <v>468</v>
      </c>
      <c r="K96" s="338" t="s">
        <v>599</v>
      </c>
      <c r="L96" s="338" t="s">
        <v>523</v>
      </c>
      <c r="M96" s="338" t="s">
        <v>468</v>
      </c>
    </row>
    <row r="97" spans="2:13" ht="38.25" hidden="1" customHeight="1">
      <c r="B97" s="320">
        <v>1</v>
      </c>
      <c r="C97" s="344" t="s">
        <v>804</v>
      </c>
      <c r="D97" s="320" t="s">
        <v>577</v>
      </c>
      <c r="E97" s="320">
        <v>0</v>
      </c>
      <c r="F97" s="343">
        <v>0</v>
      </c>
      <c r="G97" s="343">
        <v>0</v>
      </c>
      <c r="H97" s="320">
        <v>8</v>
      </c>
      <c r="I97" s="137">
        <f>J97/H97</f>
        <v>52323.75</v>
      </c>
      <c r="J97" s="137">
        <v>418590</v>
      </c>
      <c r="K97" s="119">
        <v>8</v>
      </c>
      <c r="L97" s="137">
        <f>M97/K97</f>
        <v>52323.75</v>
      </c>
      <c r="M97" s="137">
        <v>418590</v>
      </c>
    </row>
    <row r="98" spans="2:13" ht="44.25" hidden="1" customHeight="1">
      <c r="B98" s="119">
        <v>2</v>
      </c>
      <c r="C98" s="144" t="s">
        <v>805</v>
      </c>
      <c r="D98" s="119" t="s">
        <v>577</v>
      </c>
      <c r="E98" s="119">
        <v>8</v>
      </c>
      <c r="F98" s="137">
        <f>G98/E98</f>
        <v>2206.91</v>
      </c>
      <c r="G98" s="137">
        <v>17655.259999999998</v>
      </c>
      <c r="H98" s="119">
        <v>8</v>
      </c>
      <c r="I98" s="137">
        <f>J98/H98</f>
        <v>2206.91</v>
      </c>
      <c r="J98" s="137">
        <v>17655.259999999998</v>
      </c>
      <c r="K98" s="119">
        <v>8</v>
      </c>
      <c r="L98" s="137">
        <f>M98/K98</f>
        <v>2206.91</v>
      </c>
      <c r="M98" s="137">
        <v>17655.259999999998</v>
      </c>
    </row>
    <row r="99" spans="2:13" ht="60.75" hidden="1" customHeight="1">
      <c r="B99" s="119">
        <v>3</v>
      </c>
      <c r="C99" s="144" t="s">
        <v>806</v>
      </c>
      <c r="D99" s="119" t="s">
        <v>577</v>
      </c>
      <c r="E99" s="119">
        <v>0</v>
      </c>
      <c r="F99" s="137">
        <v>0</v>
      </c>
      <c r="G99" s="137">
        <v>0</v>
      </c>
      <c r="H99" s="119">
        <v>10</v>
      </c>
      <c r="I99" s="137">
        <f>J99/H99</f>
        <v>7678.82</v>
      </c>
      <c r="J99" s="137">
        <v>76788.2</v>
      </c>
      <c r="K99" s="119">
        <v>10</v>
      </c>
      <c r="L99" s="137">
        <f>M99/K99</f>
        <v>7678.82</v>
      </c>
      <c r="M99" s="137">
        <v>76788.2</v>
      </c>
    </row>
    <row r="100" spans="2:13" ht="51" hidden="1" customHeight="1">
      <c r="B100" s="119">
        <v>4</v>
      </c>
      <c r="C100" s="144" t="s">
        <v>825</v>
      </c>
      <c r="D100" s="119" t="s">
        <v>577</v>
      </c>
      <c r="E100" s="119">
        <f>100+10</f>
        <v>110</v>
      </c>
      <c r="F100" s="137">
        <f>G100/E100</f>
        <v>4145.21</v>
      </c>
      <c r="G100" s="345">
        <f>615839.48-60000+70438.2-170304.12</f>
        <v>455973.56</v>
      </c>
      <c r="H100" s="119">
        <v>200</v>
      </c>
      <c r="I100" s="137">
        <f>J100/H100</f>
        <v>6441.18</v>
      </c>
      <c r="J100" s="137">
        <v>1288235.02</v>
      </c>
      <c r="K100" s="119">
        <v>200</v>
      </c>
      <c r="L100" s="137">
        <f>M100/K100</f>
        <v>6449.41</v>
      </c>
      <c r="M100" s="137">
        <v>1289881.1299999999</v>
      </c>
    </row>
    <row r="101" spans="2:13" ht="45.75" hidden="1" customHeight="1">
      <c r="B101" s="243">
        <v>5</v>
      </c>
      <c r="C101" s="244" t="s">
        <v>807</v>
      </c>
      <c r="D101" s="243" t="s">
        <v>577</v>
      </c>
      <c r="E101" s="243">
        <v>4</v>
      </c>
      <c r="F101" s="219">
        <f>G101/E101</f>
        <v>3150</v>
      </c>
      <c r="G101" s="219">
        <v>12600</v>
      </c>
      <c r="H101" s="243">
        <v>0</v>
      </c>
      <c r="I101" s="219">
        <v>0</v>
      </c>
      <c r="J101" s="219">
        <v>0</v>
      </c>
      <c r="K101" s="243">
        <v>0</v>
      </c>
      <c r="L101" s="219">
        <v>0</v>
      </c>
      <c r="M101" s="219">
        <v>0</v>
      </c>
    </row>
    <row r="102" spans="2:13" ht="84" hidden="1" customHeight="1">
      <c r="B102" s="243">
        <v>6</v>
      </c>
      <c r="C102" s="244" t="s">
        <v>808</v>
      </c>
      <c r="D102" s="243" t="s">
        <v>577</v>
      </c>
      <c r="E102" s="243">
        <v>1</v>
      </c>
      <c r="F102" s="219">
        <v>8400</v>
      </c>
      <c r="G102" s="219">
        <f>F102*E102</f>
        <v>8400</v>
      </c>
      <c r="H102" s="243">
        <v>0</v>
      </c>
      <c r="I102" s="219">
        <v>0</v>
      </c>
      <c r="J102" s="219">
        <v>0</v>
      </c>
      <c r="K102" s="243">
        <v>0</v>
      </c>
      <c r="L102" s="219">
        <v>0</v>
      </c>
      <c r="M102" s="219">
        <v>0</v>
      </c>
    </row>
    <row r="103" spans="2:13" s="180" customFormat="1" ht="62.25" hidden="1" customHeight="1">
      <c r="B103" s="243">
        <v>7</v>
      </c>
      <c r="C103" s="244" t="s">
        <v>665</v>
      </c>
      <c r="D103" s="243" t="s">
        <v>577</v>
      </c>
      <c r="E103" s="243">
        <v>1</v>
      </c>
      <c r="F103" s="219">
        <v>99000</v>
      </c>
      <c r="G103" s="219">
        <f>F103*E103</f>
        <v>99000</v>
      </c>
      <c r="H103" s="243">
        <v>0</v>
      </c>
      <c r="I103" s="219">
        <v>0</v>
      </c>
      <c r="J103" s="219">
        <v>0</v>
      </c>
      <c r="K103" s="243">
        <v>0</v>
      </c>
      <c r="L103" s="219">
        <v>0</v>
      </c>
      <c r="M103" s="219">
        <v>0</v>
      </c>
    </row>
    <row r="104" spans="2:13" s="180" customFormat="1" ht="51" hidden="1" customHeight="1">
      <c r="B104" s="243">
        <v>8</v>
      </c>
      <c r="C104" s="244" t="s">
        <v>809</v>
      </c>
      <c r="D104" s="243" t="s">
        <v>577</v>
      </c>
      <c r="E104" s="243">
        <v>2</v>
      </c>
      <c r="F104" s="219">
        <f>G104/E104</f>
        <v>2600</v>
      </c>
      <c r="G104" s="219">
        <v>5200</v>
      </c>
      <c r="H104" s="243">
        <v>0</v>
      </c>
      <c r="I104" s="219">
        <v>0</v>
      </c>
      <c r="J104" s="219">
        <v>0</v>
      </c>
      <c r="K104" s="243">
        <v>0</v>
      </c>
      <c r="L104" s="219">
        <v>0</v>
      </c>
      <c r="M104" s="219">
        <v>0</v>
      </c>
    </row>
    <row r="105" spans="2:13" s="180" customFormat="1" ht="54.75" hidden="1" customHeight="1">
      <c r="B105" s="243">
        <v>9</v>
      </c>
      <c r="C105" s="244" t="s">
        <v>810</v>
      </c>
      <c r="D105" s="243" t="s">
        <v>577</v>
      </c>
      <c r="E105" s="243">
        <v>1</v>
      </c>
      <c r="F105" s="219">
        <v>10560</v>
      </c>
      <c r="G105" s="219">
        <f>E105*F105</f>
        <v>10560</v>
      </c>
      <c r="H105" s="243">
        <v>0</v>
      </c>
      <c r="I105" s="219">
        <v>0</v>
      </c>
      <c r="J105" s="219">
        <v>0</v>
      </c>
      <c r="K105" s="243">
        <v>0</v>
      </c>
      <c r="L105" s="219">
        <v>0</v>
      </c>
      <c r="M105" s="219">
        <v>0</v>
      </c>
    </row>
    <row r="106" spans="2:13" s="180" customFormat="1" ht="38.25" hidden="1" customHeight="1">
      <c r="B106" s="243">
        <v>10</v>
      </c>
      <c r="C106" s="244" t="s">
        <v>664</v>
      </c>
      <c r="D106" s="243" t="s">
        <v>577</v>
      </c>
      <c r="E106" s="243">
        <v>1</v>
      </c>
      <c r="F106" s="219">
        <v>19200</v>
      </c>
      <c r="G106" s="219">
        <f>E106*F106</f>
        <v>19200</v>
      </c>
      <c r="H106" s="243">
        <v>0</v>
      </c>
      <c r="I106" s="219">
        <v>0</v>
      </c>
      <c r="J106" s="219">
        <v>0</v>
      </c>
      <c r="K106" s="243">
        <v>0</v>
      </c>
      <c r="L106" s="219">
        <v>0</v>
      </c>
      <c r="M106" s="219">
        <v>0</v>
      </c>
    </row>
    <row r="107" spans="2:13" s="180" customFormat="1" ht="58.5" hidden="1" customHeight="1">
      <c r="B107" s="243">
        <v>11</v>
      </c>
      <c r="C107" s="244" t="s">
        <v>811</v>
      </c>
      <c r="D107" s="243" t="s">
        <v>577</v>
      </c>
      <c r="E107" s="243">
        <v>1</v>
      </c>
      <c r="F107" s="219">
        <f>G107/E107</f>
        <v>25000</v>
      </c>
      <c r="G107" s="219">
        <v>25000</v>
      </c>
      <c r="H107" s="243">
        <v>0</v>
      </c>
      <c r="I107" s="219">
        <v>0</v>
      </c>
      <c r="J107" s="219">
        <v>0</v>
      </c>
      <c r="K107" s="243">
        <v>0</v>
      </c>
      <c r="L107" s="219">
        <v>0</v>
      </c>
      <c r="M107" s="219">
        <v>0</v>
      </c>
    </row>
    <row r="108" spans="2:13" s="180" customFormat="1" ht="94.5" hidden="1" customHeight="1">
      <c r="B108" s="243">
        <v>12</v>
      </c>
      <c r="C108" s="244" t="s">
        <v>812</v>
      </c>
      <c r="D108" s="243" t="s">
        <v>577</v>
      </c>
      <c r="E108" s="243">
        <v>1</v>
      </c>
      <c r="F108" s="219">
        <f>G108/E108</f>
        <v>24900</v>
      </c>
      <c r="G108" s="219">
        <v>24900</v>
      </c>
      <c r="H108" s="243">
        <v>0</v>
      </c>
      <c r="I108" s="219">
        <v>0</v>
      </c>
      <c r="J108" s="219">
        <v>0</v>
      </c>
      <c r="K108" s="243">
        <v>0</v>
      </c>
      <c r="L108" s="219">
        <v>0</v>
      </c>
      <c r="M108" s="219">
        <v>0</v>
      </c>
    </row>
    <row r="109" spans="2:13" s="180" customFormat="1" ht="29.25" hidden="1" customHeight="1">
      <c r="B109" s="243">
        <v>13</v>
      </c>
      <c r="C109" s="144" t="s">
        <v>813</v>
      </c>
      <c r="D109" s="119" t="s">
        <v>577</v>
      </c>
      <c r="E109" s="119">
        <v>1</v>
      </c>
      <c r="F109" s="137">
        <v>622720</v>
      </c>
      <c r="G109" s="137">
        <f>E109*F109-482098.16</f>
        <v>140621.84</v>
      </c>
      <c r="H109" s="119">
        <v>1</v>
      </c>
      <c r="I109" s="137">
        <v>622720</v>
      </c>
      <c r="J109" s="137">
        <f>H109*I109</f>
        <v>622720</v>
      </c>
      <c r="K109" s="119">
        <v>1</v>
      </c>
      <c r="L109" s="137">
        <v>622720</v>
      </c>
      <c r="M109" s="137">
        <f>K109*L109</f>
        <v>622720</v>
      </c>
    </row>
    <row r="110" spans="2:13" s="180" customFormat="1" ht="54" hidden="1" customHeight="1">
      <c r="B110" s="243">
        <v>14</v>
      </c>
      <c r="C110" s="144" t="s">
        <v>814</v>
      </c>
      <c r="D110" s="119" t="s">
        <v>577</v>
      </c>
      <c r="E110" s="119">
        <v>16</v>
      </c>
      <c r="F110" s="137">
        <f>G110/E110</f>
        <v>10825</v>
      </c>
      <c r="G110" s="137">
        <f>138200+35000</f>
        <v>173200</v>
      </c>
      <c r="H110" s="119">
        <v>16</v>
      </c>
      <c r="I110" s="137">
        <f>J110/H110</f>
        <v>8637.5</v>
      </c>
      <c r="J110" s="137">
        <v>138200</v>
      </c>
      <c r="K110" s="119">
        <v>16</v>
      </c>
      <c r="L110" s="137">
        <f>M110/K110</f>
        <v>8637.5</v>
      </c>
      <c r="M110" s="137">
        <v>138200</v>
      </c>
    </row>
    <row r="111" spans="2:13" ht="81" hidden="1" customHeight="1">
      <c r="B111" s="338">
        <v>15</v>
      </c>
      <c r="C111" s="340" t="s">
        <v>815</v>
      </c>
      <c r="D111" s="338" t="s">
        <v>577</v>
      </c>
      <c r="E111" s="338">
        <v>1</v>
      </c>
      <c r="F111" s="339">
        <v>60000</v>
      </c>
      <c r="G111" s="339">
        <v>60000</v>
      </c>
      <c r="H111" s="338">
        <v>0</v>
      </c>
      <c r="I111" s="339">
        <v>0</v>
      </c>
      <c r="J111" s="339">
        <v>0</v>
      </c>
      <c r="K111" s="338">
        <v>0</v>
      </c>
      <c r="L111" s="339">
        <v>0</v>
      </c>
      <c r="M111" s="339">
        <v>0</v>
      </c>
    </row>
    <row r="112" spans="2:13" ht="38.25" hidden="1" customHeight="1">
      <c r="B112" s="243">
        <v>16</v>
      </c>
      <c r="C112" s="144" t="s">
        <v>816</v>
      </c>
      <c r="D112" s="119" t="s">
        <v>577</v>
      </c>
      <c r="E112" s="119">
        <v>12</v>
      </c>
      <c r="F112" s="137">
        <v>10000</v>
      </c>
      <c r="G112" s="137">
        <v>156000</v>
      </c>
      <c r="H112" s="119">
        <v>12</v>
      </c>
      <c r="I112" s="137">
        <v>10000</v>
      </c>
      <c r="J112" s="137">
        <v>100700.4</v>
      </c>
      <c r="K112" s="119">
        <v>12</v>
      </c>
      <c r="L112" s="137">
        <v>10000</v>
      </c>
      <c r="M112" s="137">
        <v>111183.88</v>
      </c>
    </row>
    <row r="113" spans="2:17" ht="51" hidden="1" customHeight="1">
      <c r="B113" s="335">
        <v>17</v>
      </c>
      <c r="C113" s="337" t="s">
        <v>817</v>
      </c>
      <c r="D113" s="335" t="s">
        <v>577</v>
      </c>
      <c r="E113" s="335">
        <v>1</v>
      </c>
      <c r="F113" s="336">
        <f t="shared" ref="F113:F114" si="9">G113/E113</f>
        <v>11699</v>
      </c>
      <c r="G113" s="336">
        <v>11699</v>
      </c>
      <c r="H113" s="335">
        <v>0</v>
      </c>
      <c r="I113" s="336">
        <v>0</v>
      </c>
      <c r="J113" s="336">
        <v>0</v>
      </c>
      <c r="K113" s="335">
        <v>0</v>
      </c>
      <c r="L113" s="336">
        <v>0</v>
      </c>
      <c r="M113" s="336">
        <v>0</v>
      </c>
    </row>
    <row r="114" spans="2:17" ht="51" hidden="1" customHeight="1">
      <c r="B114" s="335">
        <v>18</v>
      </c>
      <c r="C114" s="337" t="s">
        <v>723</v>
      </c>
      <c r="D114" s="335" t="s">
        <v>577</v>
      </c>
      <c r="E114" s="335">
        <v>1</v>
      </c>
      <c r="F114" s="336">
        <f t="shared" si="9"/>
        <v>6350</v>
      </c>
      <c r="G114" s="336">
        <v>6350</v>
      </c>
      <c r="H114" s="335">
        <v>0</v>
      </c>
      <c r="I114" s="336">
        <v>0</v>
      </c>
      <c r="J114" s="336">
        <v>0</v>
      </c>
      <c r="K114" s="335">
        <v>0</v>
      </c>
      <c r="L114" s="336">
        <v>0</v>
      </c>
      <c r="M114" s="336">
        <v>0</v>
      </c>
    </row>
    <row r="115" spans="2:17" ht="51" hidden="1" customHeight="1">
      <c r="B115" s="338">
        <v>19</v>
      </c>
      <c r="C115" s="340" t="s">
        <v>818</v>
      </c>
      <c r="D115" s="338" t="s">
        <v>577</v>
      </c>
      <c r="E115" s="338">
        <v>1</v>
      </c>
      <c r="F115" s="348">
        <f t="shared" ref="F115" si="10">G115/E115</f>
        <v>0</v>
      </c>
      <c r="G115" s="348">
        <v>0</v>
      </c>
      <c r="H115" s="320">
        <v>0</v>
      </c>
      <c r="I115" s="339">
        <v>0</v>
      </c>
      <c r="J115" s="339">
        <v>0</v>
      </c>
      <c r="K115" s="338">
        <v>0</v>
      </c>
      <c r="L115" s="339">
        <v>0</v>
      </c>
      <c r="M115" s="339">
        <v>0</v>
      </c>
    </row>
    <row r="116" spans="2:17" s="4" customFormat="1" ht="20.25" hidden="1" customHeight="1">
      <c r="B116" s="177"/>
      <c r="C116" s="188" t="s">
        <v>475</v>
      </c>
      <c r="D116" s="162" t="s">
        <v>32</v>
      </c>
      <c r="E116" s="162" t="s">
        <v>32</v>
      </c>
      <c r="F116" s="355" t="s">
        <v>32</v>
      </c>
      <c r="G116" s="355">
        <f>G97+G98+G99+G100+G101+G102+G103+G104+G105+G106+G107+G108+G109+G110+G111+G112+G113+G114+G115</f>
        <v>1226359.6599999999</v>
      </c>
      <c r="H116" s="356" t="s">
        <v>32</v>
      </c>
      <c r="I116" s="166" t="s">
        <v>32</v>
      </c>
      <c r="J116" s="166">
        <f>SUM(J97:J115)</f>
        <v>2662888.88</v>
      </c>
      <c r="K116" s="166" t="s">
        <v>32</v>
      </c>
      <c r="L116" s="166" t="s">
        <v>32</v>
      </c>
      <c r="M116" s="166">
        <f>SUM(M97:M115)</f>
        <v>2675018.4700000002</v>
      </c>
    </row>
    <row r="117" spans="2:17" ht="15" hidden="1" customHeight="1"/>
    <row r="118" spans="2:17" ht="15" hidden="1" customHeight="1">
      <c r="B118" s="149" t="s">
        <v>463</v>
      </c>
      <c r="C118" s="149"/>
      <c r="D118" s="149"/>
      <c r="E118" s="149"/>
      <c r="F118" s="149"/>
      <c r="G118" s="149"/>
      <c r="H118" s="149"/>
      <c r="I118" s="149"/>
      <c r="J118" s="149"/>
      <c r="K118" s="149"/>
      <c r="L118" s="149"/>
      <c r="M118" s="149"/>
    </row>
    <row r="119" spans="2:17" ht="15" hidden="1" customHeight="1">
      <c r="B119" s="44" t="s">
        <v>459</v>
      </c>
    </row>
    <row r="120" spans="2:17" ht="20.25" hidden="1" customHeight="1">
      <c r="B120" s="44" t="s">
        <v>615</v>
      </c>
    </row>
    <row r="121" spans="2:17" s="174" customFormat="1" ht="14.25" hidden="1" customHeight="1">
      <c r="B121" s="176" t="s">
        <v>616</v>
      </c>
      <c r="C121" s="322"/>
      <c r="D121" s="322"/>
      <c r="E121" s="322"/>
      <c r="F121" s="322"/>
      <c r="G121" s="322"/>
      <c r="H121" s="322"/>
      <c r="I121" s="322"/>
      <c r="J121" s="322"/>
      <c r="K121" s="322"/>
      <c r="L121" s="322"/>
      <c r="M121" s="322"/>
      <c r="N121" s="44"/>
      <c r="O121" s="44"/>
    </row>
    <row r="122" spans="2:17" ht="14.25" hidden="1" customHeight="1">
      <c r="B122" s="848" t="s">
        <v>307</v>
      </c>
      <c r="C122" s="848" t="s">
        <v>465</v>
      </c>
      <c r="D122" s="848" t="s">
        <v>598</v>
      </c>
      <c r="E122" s="848" t="s">
        <v>434</v>
      </c>
      <c r="F122" s="848"/>
      <c r="G122" s="848"/>
      <c r="H122" s="848" t="s">
        <v>435</v>
      </c>
      <c r="I122" s="848"/>
      <c r="J122" s="848"/>
      <c r="K122" s="848" t="s">
        <v>436</v>
      </c>
      <c r="L122" s="848"/>
      <c r="M122" s="848"/>
    </row>
    <row r="123" spans="2:17" ht="14.25" hidden="1" customHeight="1">
      <c r="B123" s="848"/>
      <c r="C123" s="848"/>
      <c r="D123" s="848"/>
      <c r="E123" s="848" t="s">
        <v>599</v>
      </c>
      <c r="F123" s="848" t="s">
        <v>523</v>
      </c>
      <c r="G123" s="848" t="s">
        <v>468</v>
      </c>
      <c r="H123" s="848" t="s">
        <v>599</v>
      </c>
      <c r="I123" s="119" t="s">
        <v>546</v>
      </c>
      <c r="J123" s="848" t="s">
        <v>468</v>
      </c>
      <c r="K123" s="848" t="s">
        <v>599</v>
      </c>
      <c r="L123" s="119" t="s">
        <v>546</v>
      </c>
      <c r="M123" s="848" t="s">
        <v>468</v>
      </c>
    </row>
    <row r="124" spans="2:17" ht="15" hidden="1" customHeight="1">
      <c r="B124" s="848"/>
      <c r="C124" s="848"/>
      <c r="D124" s="848"/>
      <c r="E124" s="848"/>
      <c r="F124" s="848"/>
      <c r="G124" s="848"/>
      <c r="H124" s="848"/>
      <c r="I124" s="119" t="s">
        <v>614</v>
      </c>
      <c r="J124" s="848"/>
      <c r="K124" s="848"/>
      <c r="L124" s="119" t="s">
        <v>614</v>
      </c>
      <c r="M124" s="848"/>
    </row>
    <row r="125" spans="2:17" ht="12.75" hidden="1" customHeight="1">
      <c r="B125" s="119">
        <v>1</v>
      </c>
      <c r="C125" s="144" t="s">
        <v>617</v>
      </c>
      <c r="D125" s="119" t="s">
        <v>577</v>
      </c>
      <c r="E125" s="119">
        <v>1</v>
      </c>
      <c r="F125" s="164">
        <v>52833.25</v>
      </c>
      <c r="G125" s="164">
        <v>0</v>
      </c>
      <c r="H125" s="171">
        <v>0</v>
      </c>
      <c r="I125" s="171">
        <v>0</v>
      </c>
      <c r="J125" s="171">
        <v>0</v>
      </c>
      <c r="K125" s="171">
        <v>0</v>
      </c>
      <c r="L125" s="171">
        <v>0</v>
      </c>
      <c r="M125" s="171">
        <v>0</v>
      </c>
    </row>
    <row r="126" spans="2:17" ht="15" hidden="1" customHeight="1">
      <c r="B126" s="177"/>
      <c r="C126" s="188" t="s">
        <v>475</v>
      </c>
      <c r="D126" s="52" t="s">
        <v>32</v>
      </c>
      <c r="E126" s="163">
        <f>SUM(E125)</f>
        <v>1</v>
      </c>
      <c r="F126" s="164">
        <f>SUM(F125)</f>
        <v>52833.25</v>
      </c>
      <c r="G126" s="164">
        <f>SUM(G125)</f>
        <v>0</v>
      </c>
      <c r="H126" s="171">
        <v>0</v>
      </c>
      <c r="I126" s="171">
        <v>0</v>
      </c>
      <c r="J126" s="171">
        <v>0</v>
      </c>
      <c r="K126" s="171">
        <v>0</v>
      </c>
      <c r="L126" s="171">
        <v>0</v>
      </c>
      <c r="M126" s="171">
        <v>0</v>
      </c>
    </row>
    <row r="127" spans="2:17" ht="15" hidden="1" customHeight="1">
      <c r="Q127" s="44" t="s">
        <v>618</v>
      </c>
    </row>
    <row r="128" spans="2:17" ht="45.75" hidden="1" customHeight="1">
      <c r="B128" s="1" t="s">
        <v>619</v>
      </c>
    </row>
    <row r="129" spans="2:13" ht="15" hidden="1" customHeight="1">
      <c r="B129" s="44" t="s">
        <v>519</v>
      </c>
    </row>
    <row r="130" spans="2:13" ht="15" hidden="1" customHeight="1">
      <c r="B130" s="176" t="s">
        <v>520</v>
      </c>
    </row>
    <row r="131" spans="2:13" ht="15" hidden="1" customHeight="1">
      <c r="B131" s="848" t="s">
        <v>307</v>
      </c>
      <c r="C131" s="848" t="s">
        <v>465</v>
      </c>
      <c r="D131" s="848" t="s">
        <v>620</v>
      </c>
      <c r="E131" s="848" t="s">
        <v>495</v>
      </c>
      <c r="F131" s="848"/>
      <c r="G131" s="848"/>
      <c r="H131" s="848" t="s">
        <v>496</v>
      </c>
      <c r="I131" s="848"/>
      <c r="J131" s="848"/>
      <c r="K131" s="848" t="s">
        <v>497</v>
      </c>
      <c r="L131" s="848"/>
      <c r="M131" s="848"/>
    </row>
    <row r="132" spans="2:13" ht="15" hidden="1" customHeight="1">
      <c r="B132" s="848"/>
      <c r="C132" s="848"/>
      <c r="D132" s="848"/>
      <c r="E132" s="848" t="s">
        <v>599</v>
      </c>
      <c r="F132" s="848" t="s">
        <v>523</v>
      </c>
      <c r="G132" s="848" t="s">
        <v>468</v>
      </c>
      <c r="H132" s="848" t="s">
        <v>599</v>
      </c>
      <c r="I132" s="119" t="s">
        <v>546</v>
      </c>
      <c r="J132" s="848" t="s">
        <v>468</v>
      </c>
      <c r="K132" s="848" t="s">
        <v>599</v>
      </c>
      <c r="L132" s="119" t="s">
        <v>546</v>
      </c>
      <c r="M132" s="848" t="s">
        <v>468</v>
      </c>
    </row>
    <row r="133" spans="2:13" ht="15" hidden="1" customHeight="1">
      <c r="B133" s="848"/>
      <c r="C133" s="848"/>
      <c r="D133" s="848"/>
      <c r="E133" s="848"/>
      <c r="F133" s="848"/>
      <c r="G133" s="848"/>
      <c r="H133" s="848"/>
      <c r="I133" s="119" t="s">
        <v>614</v>
      </c>
      <c r="J133" s="848"/>
      <c r="K133" s="848"/>
      <c r="L133" s="119" t="s">
        <v>614</v>
      </c>
      <c r="M133" s="848"/>
    </row>
    <row r="134" spans="2:13" ht="15" hidden="1" customHeight="1">
      <c r="B134" s="144"/>
      <c r="C134" s="144"/>
      <c r="D134" s="154"/>
      <c r="E134" s="154"/>
      <c r="F134" s="154"/>
      <c r="G134" s="154"/>
      <c r="H134" s="154"/>
      <c r="I134" s="154"/>
      <c r="J134" s="154"/>
      <c r="K134" s="154"/>
      <c r="L134" s="154"/>
      <c r="M134" s="154"/>
    </row>
    <row r="135" spans="2:13" ht="15.75" hidden="1" customHeight="1">
      <c r="B135" s="1" t="s">
        <v>621</v>
      </c>
    </row>
    <row r="136" spans="2:13" ht="15" hidden="1" customHeight="1"/>
    <row r="137" spans="2:13" ht="15" hidden="1" customHeight="1">
      <c r="B137" s="44" t="s">
        <v>519</v>
      </c>
    </row>
    <row r="138" spans="2:13" ht="15" hidden="1" customHeight="1"/>
    <row r="139" spans="2:13" ht="15" hidden="1" customHeight="1">
      <c r="B139" s="176" t="s">
        <v>520</v>
      </c>
    </row>
    <row r="140" spans="2:13" ht="15" hidden="1" customHeight="1">
      <c r="B140" s="848" t="s">
        <v>307</v>
      </c>
      <c r="C140" s="848" t="s">
        <v>465</v>
      </c>
      <c r="D140" s="848" t="s">
        <v>620</v>
      </c>
      <c r="E140" s="848" t="s">
        <v>495</v>
      </c>
      <c r="F140" s="848"/>
      <c r="G140" s="848"/>
      <c r="H140" s="848" t="s">
        <v>496</v>
      </c>
      <c r="I140" s="848"/>
      <c r="J140" s="848"/>
      <c r="K140" s="848" t="s">
        <v>497</v>
      </c>
      <c r="L140" s="848"/>
      <c r="M140" s="848"/>
    </row>
    <row r="141" spans="2:13" ht="15" hidden="1" customHeight="1">
      <c r="B141" s="848"/>
      <c r="C141" s="848"/>
      <c r="D141" s="848"/>
      <c r="E141" s="848" t="s">
        <v>599</v>
      </c>
      <c r="F141" s="848" t="s">
        <v>523</v>
      </c>
      <c r="G141" s="848" t="s">
        <v>468</v>
      </c>
      <c r="H141" s="848" t="s">
        <v>599</v>
      </c>
      <c r="I141" s="119" t="s">
        <v>546</v>
      </c>
      <c r="J141" s="848" t="s">
        <v>468</v>
      </c>
      <c r="K141" s="848" t="s">
        <v>599</v>
      </c>
      <c r="L141" s="119" t="s">
        <v>580</v>
      </c>
      <c r="M141" s="848" t="s">
        <v>468</v>
      </c>
    </row>
    <row r="142" spans="2:13" ht="15" hidden="1" customHeight="1">
      <c r="B142" s="848"/>
      <c r="C142" s="848"/>
      <c r="D142" s="848"/>
      <c r="E142" s="848"/>
      <c r="F142" s="848"/>
      <c r="G142" s="848"/>
      <c r="H142" s="848"/>
      <c r="I142" s="119" t="s">
        <v>614</v>
      </c>
      <c r="J142" s="848"/>
      <c r="K142" s="848"/>
      <c r="L142" s="119" t="s">
        <v>622</v>
      </c>
      <c r="M142" s="848"/>
    </row>
    <row r="143" spans="2:13" ht="15" hidden="1" customHeight="1">
      <c r="B143" s="149" t="s">
        <v>463</v>
      </c>
      <c r="C143" s="149"/>
      <c r="D143" s="149"/>
      <c r="E143" s="149"/>
      <c r="F143" s="149"/>
      <c r="G143" s="149"/>
      <c r="H143" s="149"/>
      <c r="I143" s="149"/>
      <c r="J143" s="149"/>
      <c r="K143" s="149"/>
      <c r="L143" s="149"/>
      <c r="M143" s="149"/>
    </row>
    <row r="144" spans="2:13" ht="15" hidden="1" customHeight="1">
      <c r="B144" s="44" t="s">
        <v>459</v>
      </c>
    </row>
    <row r="145" spans="2:15" ht="15" hidden="1" customHeight="1">
      <c r="B145" s="44" t="s">
        <v>518</v>
      </c>
    </row>
    <row r="146" spans="2:15" ht="20.25" hidden="1" customHeight="1">
      <c r="B146" s="176" t="s">
        <v>590</v>
      </c>
    </row>
    <row r="147" spans="2:15" s="174" customFormat="1" ht="15" hidden="1" customHeight="1">
      <c r="B147" s="848" t="s">
        <v>307</v>
      </c>
      <c r="C147" s="848" t="s">
        <v>465</v>
      </c>
      <c r="D147" s="848" t="s">
        <v>598</v>
      </c>
      <c r="E147" s="848" t="s">
        <v>434</v>
      </c>
      <c r="F147" s="848"/>
      <c r="G147" s="848"/>
      <c r="H147" s="848" t="s">
        <v>435</v>
      </c>
      <c r="I147" s="848"/>
      <c r="J147" s="848"/>
      <c r="K147" s="848" t="s">
        <v>436</v>
      </c>
      <c r="L147" s="848"/>
      <c r="M147" s="848"/>
      <c r="N147" s="44"/>
      <c r="O147" s="44"/>
    </row>
    <row r="148" spans="2:15" ht="15" hidden="1" customHeight="1">
      <c r="B148" s="848"/>
      <c r="C148" s="848"/>
      <c r="D148" s="848"/>
      <c r="E148" s="848" t="s">
        <v>599</v>
      </c>
      <c r="F148" s="848" t="s">
        <v>523</v>
      </c>
      <c r="G148" s="848" t="s">
        <v>468</v>
      </c>
      <c r="H148" s="848" t="s">
        <v>599</v>
      </c>
      <c r="I148" s="119" t="s">
        <v>546</v>
      </c>
      <c r="J148" s="848" t="s">
        <v>468</v>
      </c>
      <c r="K148" s="848" t="s">
        <v>599</v>
      </c>
      <c r="L148" s="119" t="s">
        <v>546</v>
      </c>
      <c r="M148" s="848" t="s">
        <v>468</v>
      </c>
    </row>
    <row r="149" spans="2:15" ht="15" hidden="1" customHeight="1">
      <c r="B149" s="848"/>
      <c r="C149" s="848"/>
      <c r="D149" s="848"/>
      <c r="E149" s="848"/>
      <c r="F149" s="848"/>
      <c r="G149" s="848"/>
      <c r="H149" s="848"/>
      <c r="I149" s="119" t="s">
        <v>614</v>
      </c>
      <c r="J149" s="848"/>
      <c r="K149" s="848"/>
      <c r="L149" s="119" t="s">
        <v>614</v>
      </c>
      <c r="M149" s="848"/>
    </row>
    <row r="150" spans="2:15" ht="25.5" hidden="1" customHeight="1">
      <c r="B150" s="119">
        <v>1</v>
      </c>
      <c r="C150" s="144" t="s">
        <v>623</v>
      </c>
      <c r="D150" s="194" t="s">
        <v>577</v>
      </c>
      <c r="E150" s="194">
        <v>0</v>
      </c>
      <c r="F150" s="164" t="e">
        <f t="shared" ref="F150:F198" si="11">G150/E150</f>
        <v>#DIV/0!</v>
      </c>
      <c r="G150" s="164">
        <v>0</v>
      </c>
      <c r="H150" s="195">
        <v>0</v>
      </c>
      <c r="I150" s="195">
        <v>0</v>
      </c>
      <c r="J150" s="195">
        <v>0</v>
      </c>
      <c r="K150" s="195">
        <v>0</v>
      </c>
      <c r="L150" s="195">
        <v>0</v>
      </c>
      <c r="M150" s="195">
        <v>0</v>
      </c>
    </row>
    <row r="151" spans="2:15" ht="25.5" hidden="1" customHeight="1">
      <c r="B151" s="119">
        <v>2</v>
      </c>
      <c r="C151" s="144" t="s">
        <v>624</v>
      </c>
      <c r="D151" s="194" t="s">
        <v>577</v>
      </c>
      <c r="E151" s="194">
        <v>0</v>
      </c>
      <c r="F151" s="164" t="e">
        <f t="shared" si="11"/>
        <v>#DIV/0!</v>
      </c>
      <c r="G151" s="164">
        <v>0</v>
      </c>
      <c r="H151" s="195">
        <v>0</v>
      </c>
      <c r="I151" s="195">
        <v>0</v>
      </c>
      <c r="J151" s="195">
        <v>0</v>
      </c>
      <c r="K151" s="195">
        <v>0</v>
      </c>
      <c r="L151" s="195">
        <v>0</v>
      </c>
      <c r="M151" s="195">
        <v>0</v>
      </c>
    </row>
    <row r="152" spans="2:15" ht="15" hidden="1" customHeight="1">
      <c r="B152" s="119">
        <v>3</v>
      </c>
      <c r="C152" s="144" t="s">
        <v>625</v>
      </c>
      <c r="D152" s="194" t="s">
        <v>577</v>
      </c>
      <c r="E152" s="194">
        <v>0</v>
      </c>
      <c r="F152" s="164">
        <v>0</v>
      </c>
      <c r="G152" s="164">
        <v>0</v>
      </c>
      <c r="H152" s="195">
        <v>0</v>
      </c>
      <c r="I152" s="195">
        <v>0</v>
      </c>
      <c r="J152" s="195">
        <v>0</v>
      </c>
      <c r="K152" s="195">
        <v>0</v>
      </c>
      <c r="L152" s="195">
        <v>0</v>
      </c>
      <c r="M152" s="195">
        <v>0</v>
      </c>
    </row>
    <row r="153" spans="2:15" ht="15" hidden="1" customHeight="1">
      <c r="B153" s="177"/>
      <c r="C153" s="188" t="s">
        <v>475</v>
      </c>
      <c r="D153" s="52" t="s">
        <v>32</v>
      </c>
      <c r="E153" s="163">
        <f>SUM(E150)</f>
        <v>0</v>
      </c>
      <c r="F153" s="164"/>
      <c r="G153" s="164">
        <f>SUM(G150:G152)</f>
        <v>0</v>
      </c>
      <c r="H153" s="195">
        <v>0</v>
      </c>
      <c r="I153" s="195">
        <v>0</v>
      </c>
      <c r="J153" s="195">
        <v>0</v>
      </c>
      <c r="K153" s="195">
        <v>0</v>
      </c>
      <c r="L153" s="195">
        <v>0</v>
      </c>
      <c r="M153" s="195">
        <v>0</v>
      </c>
      <c r="O153" s="196"/>
    </row>
    <row r="154" spans="2:15" ht="19.5" hidden="1" customHeight="1">
      <c r="B154" s="145"/>
      <c r="C154" s="145"/>
      <c r="D154" s="155"/>
      <c r="E154" s="155"/>
      <c r="F154" s="155"/>
      <c r="G154" s="155"/>
      <c r="H154" s="155"/>
      <c r="I154" s="155"/>
      <c r="J154" s="155"/>
      <c r="K154" s="155"/>
      <c r="L154" s="155"/>
      <c r="M154" s="155"/>
    </row>
    <row r="155" spans="2:15" ht="15.75" hidden="1" customHeight="1">
      <c r="B155" s="531" t="s">
        <v>626</v>
      </c>
      <c r="C155" s="381"/>
      <c r="D155" s="381"/>
      <c r="E155" s="381"/>
      <c r="F155" s="381"/>
      <c r="G155" s="381"/>
      <c r="H155" s="381"/>
      <c r="I155" s="381"/>
      <c r="J155" s="381"/>
      <c r="K155" s="381"/>
      <c r="L155" s="381"/>
      <c r="M155" s="381"/>
      <c r="O155" s="196"/>
    </row>
    <row r="156" spans="2:15" ht="9.75" hidden="1" customHeight="1">
      <c r="B156" s="381"/>
      <c r="C156" s="381"/>
      <c r="D156" s="381"/>
      <c r="E156" s="381"/>
      <c r="F156" s="381"/>
      <c r="G156" s="381"/>
      <c r="H156" s="381"/>
      <c r="I156" s="381"/>
      <c r="J156" s="381"/>
      <c r="K156" s="381"/>
      <c r="L156" s="381"/>
      <c r="M156" s="381"/>
    </row>
    <row r="157" spans="2:15" ht="15" hidden="1" customHeight="1">
      <c r="B157" s="523" t="s">
        <v>456</v>
      </c>
      <c r="C157" s="523"/>
      <c r="D157" s="523"/>
      <c r="E157" s="523"/>
      <c r="F157" s="523"/>
      <c r="G157" s="523"/>
      <c r="H157" s="523"/>
      <c r="I157" s="523"/>
      <c r="J157" s="523"/>
      <c r="K157" s="523"/>
      <c r="L157" s="523"/>
      <c r="M157" s="523"/>
    </row>
    <row r="158" spans="2:15" ht="15" hidden="1" customHeight="1">
      <c r="B158" s="381" t="s">
        <v>457</v>
      </c>
      <c r="C158" s="381"/>
      <c r="D158" s="381"/>
      <c r="E158" s="381"/>
      <c r="F158" s="381"/>
      <c r="G158" s="381"/>
      <c r="H158" s="381"/>
      <c r="I158" s="381"/>
      <c r="J158" s="381"/>
      <c r="K158" s="381"/>
      <c r="L158" s="381"/>
      <c r="M158" s="381"/>
    </row>
    <row r="159" spans="2:15" ht="15" hidden="1" customHeight="1">
      <c r="B159" s="381" t="s">
        <v>458</v>
      </c>
      <c r="C159" s="381"/>
      <c r="D159" s="381"/>
      <c r="E159" s="381"/>
      <c r="F159" s="381"/>
      <c r="G159" s="381"/>
      <c r="H159" s="381"/>
      <c r="I159" s="381"/>
      <c r="J159" s="381"/>
      <c r="K159" s="381"/>
      <c r="L159" s="381"/>
      <c r="M159" s="381"/>
    </row>
    <row r="160" spans="2:15" ht="17.25" hidden="1" customHeight="1">
      <c r="B160" s="529" t="s">
        <v>828</v>
      </c>
      <c r="C160" s="381"/>
      <c r="D160" s="381"/>
      <c r="E160" s="381"/>
      <c r="F160" s="381"/>
      <c r="G160" s="381"/>
      <c r="H160" s="381"/>
      <c r="I160" s="381"/>
      <c r="J160" s="381"/>
      <c r="K160" s="381"/>
      <c r="L160" s="381"/>
      <c r="M160" s="381"/>
    </row>
    <row r="161" spans="2:13" ht="14.25" hidden="1" customHeight="1">
      <c r="B161" s="866" t="s">
        <v>307</v>
      </c>
      <c r="C161" s="866" t="s">
        <v>465</v>
      </c>
      <c r="D161" s="866" t="s">
        <v>620</v>
      </c>
      <c r="E161" s="968" t="s">
        <v>744</v>
      </c>
      <c r="F161" s="969"/>
      <c r="G161" s="970"/>
      <c r="H161" s="968" t="s">
        <v>745</v>
      </c>
      <c r="I161" s="969"/>
      <c r="J161" s="970"/>
      <c r="K161" s="968" t="s">
        <v>746</v>
      </c>
      <c r="L161" s="969"/>
      <c r="M161" s="970"/>
    </row>
    <row r="162" spans="2:13" ht="14.25" hidden="1" customHeight="1">
      <c r="B162" s="866"/>
      <c r="C162" s="866"/>
      <c r="D162" s="866"/>
      <c r="E162" s="866" t="s">
        <v>599</v>
      </c>
      <c r="F162" s="972" t="s">
        <v>523</v>
      </c>
      <c r="G162" s="972" t="s">
        <v>468</v>
      </c>
      <c r="H162" s="972" t="s">
        <v>599</v>
      </c>
      <c r="I162" s="524" t="s">
        <v>546</v>
      </c>
      <c r="J162" s="866" t="s">
        <v>468</v>
      </c>
      <c r="K162" s="866" t="s">
        <v>599</v>
      </c>
      <c r="L162" s="524" t="s">
        <v>546</v>
      </c>
      <c r="M162" s="866" t="s">
        <v>468</v>
      </c>
    </row>
    <row r="163" spans="2:13" ht="14.25" hidden="1" customHeight="1">
      <c r="B163" s="866"/>
      <c r="C163" s="866"/>
      <c r="D163" s="866"/>
      <c r="E163" s="866"/>
      <c r="F163" s="972"/>
      <c r="G163" s="972"/>
      <c r="H163" s="972"/>
      <c r="I163" s="524" t="s">
        <v>614</v>
      </c>
      <c r="J163" s="866"/>
      <c r="K163" s="866"/>
      <c r="L163" s="524" t="s">
        <v>614</v>
      </c>
      <c r="M163" s="866"/>
    </row>
    <row r="164" spans="2:13" ht="38.25" hidden="1" customHeight="1">
      <c r="B164" s="524">
        <v>1</v>
      </c>
      <c r="C164" s="526" t="s">
        <v>827</v>
      </c>
      <c r="D164" s="550" t="s">
        <v>32</v>
      </c>
      <c r="E164" s="550" t="s">
        <v>32</v>
      </c>
      <c r="F164" s="551" t="s">
        <v>32</v>
      </c>
      <c r="G164" s="552">
        <v>460603.27</v>
      </c>
      <c r="H164" s="553" t="s">
        <v>32</v>
      </c>
      <c r="I164" s="554" t="s">
        <v>32</v>
      </c>
      <c r="J164" s="555">
        <v>477131.95</v>
      </c>
      <c r="K164" s="550" t="s">
        <v>32</v>
      </c>
      <c r="L164" s="554" t="s">
        <v>32</v>
      </c>
      <c r="M164" s="555">
        <v>341416.55</v>
      </c>
    </row>
    <row r="165" spans="2:13" ht="15" hidden="1" customHeight="1">
      <c r="B165" s="556"/>
      <c r="C165" s="546" t="s">
        <v>475</v>
      </c>
      <c r="D165" s="547" t="s">
        <v>32</v>
      </c>
      <c r="E165" s="547" t="s">
        <v>32</v>
      </c>
      <c r="F165" s="557" t="s">
        <v>32</v>
      </c>
      <c r="G165" s="558">
        <f>G164</f>
        <v>460603.27</v>
      </c>
      <c r="H165" s="557" t="s">
        <v>32</v>
      </c>
      <c r="I165" s="547" t="s">
        <v>32</v>
      </c>
      <c r="J165" s="559">
        <f>J164</f>
        <v>477131.95</v>
      </c>
      <c r="K165" s="547" t="s">
        <v>32</v>
      </c>
      <c r="L165" s="547" t="s">
        <v>32</v>
      </c>
      <c r="M165" s="559">
        <f>M164</f>
        <v>341416.55</v>
      </c>
    </row>
    <row r="166" spans="2:13" ht="15" hidden="1" customHeight="1"/>
    <row r="167" spans="2:13" ht="15" hidden="1" customHeight="1">
      <c r="B167" s="174" t="s">
        <v>456</v>
      </c>
      <c r="C167" s="523"/>
      <c r="D167" s="523"/>
      <c r="E167" s="523"/>
      <c r="F167" s="523"/>
      <c r="G167" s="523"/>
      <c r="H167" s="523"/>
      <c r="I167" s="523"/>
      <c r="J167" s="523"/>
      <c r="K167" s="523"/>
      <c r="L167" s="523"/>
      <c r="M167" s="523"/>
    </row>
    <row r="168" spans="2:13" ht="15" hidden="1" customHeight="1">
      <c r="B168" s="44" t="s">
        <v>457</v>
      </c>
      <c r="C168" s="381"/>
      <c r="D168" s="381"/>
      <c r="E168" s="381"/>
      <c r="F168" s="381"/>
      <c r="G168" s="381"/>
      <c r="H168" s="381"/>
      <c r="I168" s="381"/>
      <c r="J168" s="381"/>
      <c r="K168" s="381"/>
      <c r="L168" s="381"/>
      <c r="M168" s="381"/>
    </row>
    <row r="169" spans="2:13" ht="15" hidden="1" customHeight="1">
      <c r="B169" s="44" t="s">
        <v>458</v>
      </c>
      <c r="C169" s="381"/>
      <c r="D169" s="381"/>
      <c r="E169" s="381"/>
      <c r="F169" s="381"/>
      <c r="G169" s="381"/>
      <c r="H169" s="381"/>
      <c r="I169" s="381"/>
      <c r="J169" s="381"/>
      <c r="K169" s="381"/>
      <c r="L169" s="381"/>
      <c r="M169" s="381"/>
    </row>
    <row r="170" spans="2:13" ht="17.25" hidden="1" customHeight="1">
      <c r="B170" s="176" t="s">
        <v>627</v>
      </c>
      <c r="C170" s="381"/>
      <c r="D170" s="381"/>
      <c r="E170" s="381"/>
      <c r="F170" s="381"/>
      <c r="G170" s="381"/>
      <c r="H170" s="381"/>
      <c r="I170" s="381"/>
      <c r="J170" s="381"/>
      <c r="K170" s="381"/>
      <c r="L170" s="381"/>
      <c r="M170" s="381"/>
    </row>
    <row r="171" spans="2:13" ht="14.25" hidden="1" customHeight="1">
      <c r="B171" s="848" t="s">
        <v>307</v>
      </c>
      <c r="C171" s="866" t="s">
        <v>465</v>
      </c>
      <c r="D171" s="866" t="s">
        <v>620</v>
      </c>
      <c r="E171" s="968" t="s">
        <v>744</v>
      </c>
      <c r="F171" s="969"/>
      <c r="G171" s="970"/>
      <c r="H171" s="968" t="s">
        <v>745</v>
      </c>
      <c r="I171" s="969"/>
      <c r="J171" s="970"/>
      <c r="K171" s="968" t="s">
        <v>746</v>
      </c>
      <c r="L171" s="969"/>
      <c r="M171" s="970"/>
    </row>
    <row r="172" spans="2:13" ht="14.25" hidden="1" customHeight="1">
      <c r="B172" s="848"/>
      <c r="C172" s="866"/>
      <c r="D172" s="866"/>
      <c r="E172" s="866" t="s">
        <v>599</v>
      </c>
      <c r="F172" s="866" t="s">
        <v>523</v>
      </c>
      <c r="G172" s="866" t="s">
        <v>468</v>
      </c>
      <c r="H172" s="866" t="s">
        <v>599</v>
      </c>
      <c r="I172" s="524" t="s">
        <v>546</v>
      </c>
      <c r="J172" s="866" t="s">
        <v>468</v>
      </c>
      <c r="K172" s="866" t="s">
        <v>599</v>
      </c>
      <c r="L172" s="524" t="s">
        <v>546</v>
      </c>
      <c r="M172" s="866" t="s">
        <v>468</v>
      </c>
    </row>
    <row r="173" spans="2:13" ht="14.25" hidden="1" customHeight="1">
      <c r="B173" s="848"/>
      <c r="C173" s="866"/>
      <c r="D173" s="866"/>
      <c r="E173" s="866"/>
      <c r="F173" s="866"/>
      <c r="G173" s="866"/>
      <c r="H173" s="866"/>
      <c r="I173" s="524" t="s">
        <v>614</v>
      </c>
      <c r="J173" s="866"/>
      <c r="K173" s="866"/>
      <c r="L173" s="524" t="s">
        <v>614</v>
      </c>
      <c r="M173" s="866"/>
    </row>
    <row r="174" spans="2:13" ht="38.25" hidden="1" customHeight="1">
      <c r="B174" s="375">
        <v>1</v>
      </c>
      <c r="C174" s="526" t="s">
        <v>820</v>
      </c>
      <c r="D174" s="550" t="s">
        <v>32</v>
      </c>
      <c r="E174" s="550" t="s">
        <v>32</v>
      </c>
      <c r="F174" s="551" t="s">
        <v>32</v>
      </c>
      <c r="G174" s="552">
        <v>26310.14</v>
      </c>
      <c r="H174" s="553" t="s">
        <v>32</v>
      </c>
      <c r="I174" s="554" t="s">
        <v>32</v>
      </c>
      <c r="J174" s="555">
        <v>30893.68</v>
      </c>
      <c r="K174" s="550" t="s">
        <v>32</v>
      </c>
      <c r="L174" s="554" t="s">
        <v>32</v>
      </c>
      <c r="M174" s="555">
        <v>30616.73</v>
      </c>
    </row>
    <row r="175" spans="2:13" s="180" customFormat="1" ht="38.25" hidden="1" customHeight="1">
      <c r="B175" s="521">
        <v>2</v>
      </c>
      <c r="C175" s="526" t="s">
        <v>819</v>
      </c>
      <c r="D175" s="550" t="s">
        <v>32</v>
      </c>
      <c r="E175" s="550" t="s">
        <v>32</v>
      </c>
      <c r="F175" s="551" t="s">
        <v>32</v>
      </c>
      <c r="G175" s="552">
        <v>187438.31</v>
      </c>
      <c r="H175" s="553" t="s">
        <v>32</v>
      </c>
      <c r="I175" s="554" t="s">
        <v>32</v>
      </c>
      <c r="J175" s="555">
        <v>87438.32</v>
      </c>
      <c r="K175" s="550" t="s">
        <v>32</v>
      </c>
      <c r="L175" s="554" t="s">
        <v>32</v>
      </c>
      <c r="M175" s="555">
        <v>87438.31</v>
      </c>
    </row>
    <row r="176" spans="2:13" ht="15" hidden="1" customHeight="1">
      <c r="B176" s="198"/>
      <c r="C176" s="546" t="s">
        <v>475</v>
      </c>
      <c r="D176" s="547" t="s">
        <v>32</v>
      </c>
      <c r="E176" s="547" t="s">
        <v>32</v>
      </c>
      <c r="F176" s="557" t="s">
        <v>32</v>
      </c>
      <c r="G176" s="558">
        <f>SUM(G174:G175)</f>
        <v>213748.45</v>
      </c>
      <c r="H176" s="557" t="s">
        <v>32</v>
      </c>
      <c r="I176" s="547" t="s">
        <v>32</v>
      </c>
      <c r="J176" s="559">
        <f>SUM(J174:J175)</f>
        <v>118332</v>
      </c>
      <c r="K176" s="547" t="s">
        <v>32</v>
      </c>
      <c r="L176" s="547" t="s">
        <v>32</v>
      </c>
      <c r="M176" s="559">
        <f>SUM(M174:M175)</f>
        <v>118055.03999999999</v>
      </c>
    </row>
    <row r="177" spans="2:17" s="180" customFormat="1" ht="15" hidden="1" customHeight="1">
      <c r="B177" s="560"/>
      <c r="C177" s="561"/>
      <c r="D177" s="562"/>
      <c r="E177" s="562"/>
      <c r="F177" s="563"/>
      <c r="G177" s="564"/>
      <c r="H177" s="563"/>
      <c r="I177" s="562"/>
      <c r="J177" s="565"/>
      <c r="K177" s="562"/>
      <c r="L177" s="562"/>
      <c r="M177" s="565"/>
    </row>
    <row r="178" spans="2:17" s="180" customFormat="1" ht="15" hidden="1" customHeight="1">
      <c r="B178" s="560"/>
      <c r="C178" s="561"/>
      <c r="D178" s="562"/>
      <c r="E178" s="562"/>
      <c r="F178" s="563"/>
      <c r="G178" s="564"/>
      <c r="H178" s="563"/>
      <c r="I178" s="562"/>
      <c r="J178" s="565"/>
      <c r="K178" s="562"/>
      <c r="L178" s="562"/>
      <c r="M178" s="565"/>
    </row>
    <row r="179" spans="2:17" s="180" customFormat="1" ht="15" hidden="1" customHeight="1">
      <c r="B179" s="523" t="s">
        <v>829</v>
      </c>
      <c r="C179" s="523"/>
      <c r="D179" s="523"/>
      <c r="E179" s="523"/>
      <c r="F179" s="523"/>
      <c r="G179" s="523"/>
      <c r="H179" s="523"/>
      <c r="I179" s="523"/>
      <c r="J179" s="523"/>
      <c r="K179" s="523"/>
      <c r="L179" s="523"/>
      <c r="M179" s="523"/>
    </row>
    <row r="180" spans="2:17" s="180" customFormat="1" ht="15" hidden="1" customHeight="1">
      <c r="B180" s="381" t="s">
        <v>461</v>
      </c>
      <c r="C180" s="381"/>
      <c r="D180" s="381"/>
      <c r="E180" s="381"/>
      <c r="F180" s="381"/>
      <c r="G180" s="381"/>
      <c r="H180" s="381"/>
      <c r="I180" s="381"/>
      <c r="J180" s="381"/>
      <c r="K180" s="381"/>
      <c r="L180" s="381"/>
      <c r="M180" s="381"/>
    </row>
    <row r="181" spans="2:17" s="180" customFormat="1" ht="15" hidden="1" customHeight="1">
      <c r="B181" s="381" t="s">
        <v>462</v>
      </c>
      <c r="C181" s="381"/>
      <c r="D181" s="381"/>
      <c r="E181" s="381"/>
      <c r="F181" s="381"/>
      <c r="G181" s="381"/>
      <c r="H181" s="381"/>
      <c r="I181" s="381"/>
      <c r="J181" s="381"/>
      <c r="K181" s="381"/>
      <c r="L181" s="381"/>
      <c r="M181" s="381"/>
    </row>
    <row r="182" spans="2:17" s="180" customFormat="1" ht="15" hidden="1" customHeight="1">
      <c r="B182" s="529" t="s">
        <v>627</v>
      </c>
      <c r="C182" s="381"/>
      <c r="D182" s="381"/>
      <c r="E182" s="381"/>
      <c r="F182" s="381"/>
      <c r="G182" s="381"/>
      <c r="H182" s="381"/>
      <c r="I182" s="381"/>
      <c r="J182" s="381"/>
      <c r="K182" s="381"/>
      <c r="L182" s="381"/>
      <c r="M182" s="381"/>
    </row>
    <row r="183" spans="2:17" s="180" customFormat="1" ht="15" hidden="1" customHeight="1">
      <c r="B183" s="866" t="s">
        <v>307</v>
      </c>
      <c r="C183" s="866" t="s">
        <v>465</v>
      </c>
      <c r="D183" s="866" t="s">
        <v>620</v>
      </c>
      <c r="E183" s="968" t="s">
        <v>744</v>
      </c>
      <c r="F183" s="969"/>
      <c r="G183" s="970"/>
      <c r="H183" s="968" t="s">
        <v>745</v>
      </c>
      <c r="I183" s="969"/>
      <c r="J183" s="970"/>
      <c r="K183" s="968" t="s">
        <v>746</v>
      </c>
      <c r="L183" s="969"/>
      <c r="M183" s="970"/>
    </row>
    <row r="184" spans="2:17" s="180" customFormat="1" ht="15" hidden="1" customHeight="1">
      <c r="B184" s="866"/>
      <c r="C184" s="866"/>
      <c r="D184" s="866"/>
      <c r="E184" s="866" t="s">
        <v>599</v>
      </c>
      <c r="F184" s="866" t="s">
        <v>523</v>
      </c>
      <c r="G184" s="866" t="s">
        <v>468</v>
      </c>
      <c r="H184" s="866" t="s">
        <v>599</v>
      </c>
      <c r="I184" s="524" t="s">
        <v>546</v>
      </c>
      <c r="J184" s="866" t="s">
        <v>468</v>
      </c>
      <c r="K184" s="866" t="s">
        <v>599</v>
      </c>
      <c r="L184" s="524" t="s">
        <v>546</v>
      </c>
      <c r="M184" s="866" t="s">
        <v>468</v>
      </c>
    </row>
    <row r="185" spans="2:17" s="180" customFormat="1" ht="15" hidden="1" customHeight="1">
      <c r="B185" s="866"/>
      <c r="C185" s="866"/>
      <c r="D185" s="866"/>
      <c r="E185" s="866"/>
      <c r="F185" s="866"/>
      <c r="G185" s="866"/>
      <c r="H185" s="866"/>
      <c r="I185" s="524" t="s">
        <v>614</v>
      </c>
      <c r="J185" s="866"/>
      <c r="K185" s="866"/>
      <c r="L185" s="524" t="s">
        <v>614</v>
      </c>
      <c r="M185" s="866"/>
    </row>
    <row r="186" spans="2:17" s="180" customFormat="1" ht="38.25" hidden="1" customHeight="1">
      <c r="B186" s="524">
        <v>1</v>
      </c>
      <c r="C186" s="526" t="s">
        <v>820</v>
      </c>
      <c r="D186" s="550" t="s">
        <v>32</v>
      </c>
      <c r="E186" s="550" t="s">
        <v>32</v>
      </c>
      <c r="F186" s="551" t="s">
        <v>32</v>
      </c>
      <c r="G186" s="552">
        <v>6171.52</v>
      </c>
      <c r="H186" s="553" t="s">
        <v>32</v>
      </c>
      <c r="I186" s="554" t="s">
        <v>32</v>
      </c>
      <c r="J186" s="555">
        <v>7246.66</v>
      </c>
      <c r="K186" s="550" t="s">
        <v>32</v>
      </c>
      <c r="L186" s="554" t="s">
        <v>32</v>
      </c>
      <c r="M186" s="555">
        <v>7181.72</v>
      </c>
    </row>
    <row r="187" spans="2:17" s="180" customFormat="1" ht="38.25" hidden="1" customHeight="1">
      <c r="B187" s="524">
        <v>2</v>
      </c>
      <c r="C187" s="526" t="s">
        <v>819</v>
      </c>
      <c r="D187" s="550" t="s">
        <v>32</v>
      </c>
      <c r="E187" s="550" t="s">
        <v>32</v>
      </c>
      <c r="F187" s="551" t="s">
        <v>32</v>
      </c>
      <c r="G187" s="552">
        <v>537923.11</v>
      </c>
      <c r="H187" s="553" t="s">
        <v>32</v>
      </c>
      <c r="I187" s="554" t="s">
        <v>32</v>
      </c>
      <c r="J187" s="555">
        <v>491020.43</v>
      </c>
      <c r="K187" s="550" t="s">
        <v>32</v>
      </c>
      <c r="L187" s="554" t="s">
        <v>32</v>
      </c>
      <c r="M187" s="555">
        <v>491020.43</v>
      </c>
    </row>
    <row r="188" spans="2:17" s="180" customFormat="1" ht="15" hidden="1" customHeight="1">
      <c r="B188" s="556"/>
      <c r="C188" s="546" t="s">
        <v>475</v>
      </c>
      <c r="D188" s="547" t="s">
        <v>32</v>
      </c>
      <c r="E188" s="547" t="s">
        <v>32</v>
      </c>
      <c r="F188" s="557" t="s">
        <v>32</v>
      </c>
      <c r="G188" s="558">
        <f>SUM(G186:G187)</f>
        <v>544094.63</v>
      </c>
      <c r="H188" s="557" t="s">
        <v>32</v>
      </c>
      <c r="I188" s="547" t="s">
        <v>32</v>
      </c>
      <c r="J188" s="559">
        <f>SUM(J186:J187)</f>
        <v>498267.09</v>
      </c>
      <c r="K188" s="547" t="s">
        <v>32</v>
      </c>
      <c r="L188" s="547" t="s">
        <v>32</v>
      </c>
      <c r="M188" s="559">
        <f>SUM(M186:M187)</f>
        <v>498202.15</v>
      </c>
    </row>
    <row r="189" spans="2:17" s="180" customFormat="1" ht="15" hidden="1" customHeight="1">
      <c r="B189" s="560"/>
      <c r="C189" s="561"/>
      <c r="D189" s="562"/>
      <c r="E189" s="562"/>
      <c r="F189" s="563"/>
      <c r="G189" s="564"/>
      <c r="H189" s="563"/>
      <c r="I189" s="562"/>
      <c r="J189" s="565"/>
      <c r="K189" s="562"/>
      <c r="L189" s="562"/>
      <c r="M189" s="565"/>
    </row>
    <row r="190" spans="2:17" ht="15" hidden="1" customHeight="1">
      <c r="C190" s="191"/>
      <c r="D190" s="45"/>
      <c r="E190" s="45"/>
      <c r="F190" s="45"/>
      <c r="G190" s="192"/>
      <c r="H190" s="45"/>
      <c r="I190" s="45"/>
      <c r="J190" s="201"/>
      <c r="K190" s="45"/>
      <c r="L190" s="45"/>
      <c r="M190" s="201"/>
      <c r="Q190" s="44" t="s">
        <v>628</v>
      </c>
    </row>
    <row r="191" spans="2:17" s="149" customFormat="1" ht="15" hidden="1" customHeight="1">
      <c r="B191" s="149" t="s">
        <v>463</v>
      </c>
      <c r="N191" s="44"/>
      <c r="O191" s="44"/>
    </row>
    <row r="192" spans="2:17" ht="15" hidden="1" customHeight="1">
      <c r="B192" s="44" t="s">
        <v>459</v>
      </c>
    </row>
    <row r="193" spans="2:17" ht="15" hidden="1" customHeight="1">
      <c r="B193" s="44" t="s">
        <v>518</v>
      </c>
    </row>
    <row r="194" spans="2:17" ht="15" hidden="1" customHeight="1">
      <c r="B194" s="176" t="s">
        <v>629</v>
      </c>
    </row>
    <row r="195" spans="2:17" ht="15" hidden="1" customHeight="1">
      <c r="B195" s="848" t="s">
        <v>307</v>
      </c>
      <c r="C195" s="848" t="s">
        <v>465</v>
      </c>
      <c r="D195" s="848" t="s">
        <v>620</v>
      </c>
      <c r="E195" s="848" t="s">
        <v>434</v>
      </c>
      <c r="F195" s="848"/>
      <c r="G195" s="848"/>
      <c r="H195" s="848" t="s">
        <v>435</v>
      </c>
      <c r="I195" s="848"/>
      <c r="J195" s="848"/>
      <c r="K195" s="848" t="s">
        <v>436</v>
      </c>
      <c r="L195" s="848"/>
      <c r="M195" s="848"/>
    </row>
    <row r="196" spans="2:17" ht="15" hidden="1" customHeight="1">
      <c r="B196" s="848"/>
      <c r="C196" s="848"/>
      <c r="D196" s="848"/>
      <c r="E196" s="848" t="s">
        <v>599</v>
      </c>
      <c r="F196" s="848" t="s">
        <v>523</v>
      </c>
      <c r="G196" s="848" t="s">
        <v>468</v>
      </c>
      <c r="H196" s="848" t="s">
        <v>599</v>
      </c>
      <c r="I196" s="119" t="s">
        <v>546</v>
      </c>
      <c r="J196" s="848" t="s">
        <v>468</v>
      </c>
      <c r="K196" s="848" t="s">
        <v>599</v>
      </c>
      <c r="L196" s="119" t="s">
        <v>546</v>
      </c>
      <c r="M196" s="848" t="s">
        <v>468</v>
      </c>
    </row>
    <row r="197" spans="2:17" s="175" customFormat="1" ht="15" hidden="1" customHeight="1">
      <c r="B197" s="848"/>
      <c r="C197" s="848"/>
      <c r="D197" s="848"/>
      <c r="E197" s="848"/>
      <c r="F197" s="848"/>
      <c r="G197" s="848"/>
      <c r="H197" s="848"/>
      <c r="I197" s="119" t="s">
        <v>614</v>
      </c>
      <c r="J197" s="848"/>
      <c r="K197" s="848"/>
      <c r="L197" s="119" t="s">
        <v>614</v>
      </c>
      <c r="M197" s="848"/>
      <c r="N197" s="44"/>
      <c r="O197" s="44"/>
    </row>
    <row r="198" spans="2:17" ht="25.5" hidden="1" customHeight="1">
      <c r="B198" s="119">
        <v>1</v>
      </c>
      <c r="C198" s="119" t="s">
        <v>630</v>
      </c>
      <c r="D198" s="52" t="s">
        <v>631</v>
      </c>
      <c r="E198" s="52">
        <v>0</v>
      </c>
      <c r="F198" s="202" t="e">
        <f t="shared" si="11"/>
        <v>#DIV/0!</v>
      </c>
      <c r="G198" s="202">
        <v>0</v>
      </c>
      <c r="H198" s="178">
        <v>0</v>
      </c>
      <c r="I198" s="178">
        <v>0</v>
      </c>
      <c r="J198" s="178">
        <v>0</v>
      </c>
      <c r="K198" s="178">
        <v>0</v>
      </c>
      <c r="L198" s="178">
        <v>0</v>
      </c>
      <c r="M198" s="178">
        <v>0</v>
      </c>
    </row>
    <row r="199" spans="2:17" ht="15" hidden="1" customHeight="1">
      <c r="B199" s="198"/>
      <c r="C199" s="188" t="s">
        <v>475</v>
      </c>
      <c r="D199" s="52" t="s">
        <v>32</v>
      </c>
      <c r="E199" s="52" t="s">
        <v>32</v>
      </c>
      <c r="F199" s="52" t="s">
        <v>32</v>
      </c>
      <c r="G199" s="199">
        <f>G198</f>
        <v>0</v>
      </c>
      <c r="H199" s="52" t="s">
        <v>32</v>
      </c>
      <c r="I199" s="52" t="s">
        <v>32</v>
      </c>
      <c r="J199" s="200">
        <f>J198</f>
        <v>0</v>
      </c>
      <c r="K199" s="52" t="s">
        <v>32</v>
      </c>
      <c r="L199" s="52" t="s">
        <v>32</v>
      </c>
      <c r="M199" s="200">
        <f>M198</f>
        <v>0</v>
      </c>
    </row>
    <row r="200" spans="2:17" ht="15" hidden="1" customHeight="1">
      <c r="C200" s="191"/>
      <c r="D200" s="45"/>
      <c r="E200" s="45"/>
      <c r="F200" s="45"/>
      <c r="G200" s="192"/>
      <c r="H200" s="45"/>
      <c r="I200" s="45"/>
      <c r="J200" s="201"/>
      <c r="K200" s="45"/>
      <c r="L200" s="45"/>
      <c r="M200" s="201"/>
      <c r="Q200" t="s">
        <v>632</v>
      </c>
    </row>
    <row r="201" spans="2:17" ht="15" hidden="1" customHeight="1">
      <c r="B201" s="149" t="s">
        <v>463</v>
      </c>
      <c r="C201" s="149"/>
      <c r="D201" s="149"/>
      <c r="E201" s="149"/>
      <c r="F201" s="149"/>
      <c r="G201" s="149"/>
      <c r="H201" s="149"/>
      <c r="I201" s="149"/>
      <c r="J201" s="149"/>
      <c r="K201" s="149"/>
      <c r="L201" s="149"/>
      <c r="M201" s="149"/>
    </row>
    <row r="202" spans="2:17" ht="15" hidden="1" customHeight="1">
      <c r="B202" s="44" t="s">
        <v>459</v>
      </c>
    </row>
    <row r="203" spans="2:17" ht="15" hidden="1" customHeight="1">
      <c r="B203" s="44" t="s">
        <v>633</v>
      </c>
    </row>
    <row r="204" spans="2:17" ht="15" hidden="1" customHeight="1">
      <c r="B204" s="176" t="s">
        <v>629</v>
      </c>
    </row>
    <row r="205" spans="2:17" ht="15" hidden="1" customHeight="1">
      <c r="B205" s="848" t="s">
        <v>307</v>
      </c>
      <c r="C205" s="848" t="s">
        <v>465</v>
      </c>
      <c r="D205" s="848" t="s">
        <v>598</v>
      </c>
      <c r="E205" s="848" t="s">
        <v>434</v>
      </c>
      <c r="F205" s="848"/>
      <c r="G205" s="848"/>
      <c r="H205" s="848" t="s">
        <v>435</v>
      </c>
      <c r="I205" s="848"/>
      <c r="J205" s="848"/>
      <c r="K205" s="848" t="s">
        <v>436</v>
      </c>
      <c r="L205" s="848"/>
      <c r="M205" s="848"/>
    </row>
    <row r="206" spans="2:17" ht="15" hidden="1" customHeight="1">
      <c r="B206" s="848"/>
      <c r="C206" s="848"/>
      <c r="D206" s="848"/>
      <c r="E206" s="848" t="s">
        <v>599</v>
      </c>
      <c r="F206" s="848" t="s">
        <v>523</v>
      </c>
      <c r="G206" s="848" t="s">
        <v>468</v>
      </c>
      <c r="H206" s="848" t="s">
        <v>599</v>
      </c>
      <c r="I206" s="119" t="s">
        <v>546</v>
      </c>
      <c r="J206" s="848" t="s">
        <v>468</v>
      </c>
      <c r="K206" s="848" t="s">
        <v>599</v>
      </c>
      <c r="L206" s="119" t="s">
        <v>546</v>
      </c>
      <c r="M206" s="848" t="s">
        <v>468</v>
      </c>
    </row>
    <row r="207" spans="2:17" ht="15" hidden="1" customHeight="1">
      <c r="B207" s="848"/>
      <c r="C207" s="848"/>
      <c r="D207" s="848"/>
      <c r="E207" s="848"/>
      <c r="F207" s="848"/>
      <c r="G207" s="848"/>
      <c r="H207" s="848"/>
      <c r="I207" s="119" t="s">
        <v>614</v>
      </c>
      <c r="J207" s="848"/>
      <c r="K207" s="848"/>
      <c r="L207" s="119" t="s">
        <v>614</v>
      </c>
      <c r="M207" s="848"/>
    </row>
    <row r="208" spans="2:17" ht="51" hidden="1" customHeight="1">
      <c r="B208" s="119">
        <v>1</v>
      </c>
      <c r="C208" s="144" t="s">
        <v>634</v>
      </c>
      <c r="D208" s="52" t="s">
        <v>631</v>
      </c>
      <c r="E208" s="194">
        <v>0</v>
      </c>
      <c r="F208" s="164">
        <v>0</v>
      </c>
      <c r="G208" s="164">
        <f t="shared" ref="G208:G209" si="12">E208*F208</f>
        <v>0</v>
      </c>
      <c r="H208" s="195">
        <v>0</v>
      </c>
      <c r="I208" s="195">
        <v>0</v>
      </c>
      <c r="J208" s="195">
        <v>0</v>
      </c>
      <c r="K208" s="195">
        <v>0</v>
      </c>
      <c r="L208" s="195">
        <v>0</v>
      </c>
      <c r="M208" s="195">
        <v>0</v>
      </c>
    </row>
    <row r="209" spans="2:17" ht="51" hidden="1" customHeight="1">
      <c r="B209" s="119">
        <v>2</v>
      </c>
      <c r="C209" s="144" t="s">
        <v>635</v>
      </c>
      <c r="D209" s="52" t="s">
        <v>636</v>
      </c>
      <c r="E209" s="194">
        <v>0</v>
      </c>
      <c r="F209" s="164">
        <v>0</v>
      </c>
      <c r="G209" s="164">
        <f t="shared" si="12"/>
        <v>0</v>
      </c>
      <c r="H209" s="195">
        <v>0</v>
      </c>
      <c r="I209" s="195">
        <v>0</v>
      </c>
      <c r="J209" s="195">
        <v>0</v>
      </c>
      <c r="K209" s="195">
        <v>0</v>
      </c>
      <c r="L209" s="195">
        <v>0</v>
      </c>
      <c r="M209" s="195">
        <v>0</v>
      </c>
    </row>
    <row r="210" spans="2:17" ht="15" hidden="1" customHeight="1">
      <c r="B210" s="177"/>
      <c r="C210" s="188" t="s">
        <v>475</v>
      </c>
      <c r="D210" s="52" t="s">
        <v>32</v>
      </c>
      <c r="E210" s="52" t="s">
        <v>32</v>
      </c>
      <c r="F210" s="52" t="s">
        <v>32</v>
      </c>
      <c r="G210" s="164">
        <f>G208+G209</f>
        <v>0</v>
      </c>
      <c r="H210" s="52" t="s">
        <v>32</v>
      </c>
      <c r="I210" s="52" t="s">
        <v>32</v>
      </c>
      <c r="J210" s="164">
        <f>J208+J209</f>
        <v>0</v>
      </c>
      <c r="K210" s="52" t="s">
        <v>32</v>
      </c>
      <c r="L210" s="52" t="s">
        <v>32</v>
      </c>
      <c r="M210" s="164">
        <f>M208+M209</f>
        <v>0</v>
      </c>
    </row>
    <row r="211" spans="2:17" ht="39" hidden="1" customHeight="1">
      <c r="B211" s="176"/>
      <c r="C211" s="191"/>
      <c r="D211" s="45"/>
      <c r="E211" s="203"/>
      <c r="F211" s="190"/>
      <c r="G211" s="190"/>
      <c r="H211" s="204"/>
      <c r="I211" s="204"/>
      <c r="J211" s="204"/>
      <c r="K211" s="204"/>
      <c r="L211" s="204"/>
      <c r="M211" s="204"/>
    </row>
    <row r="212" spans="2:17" ht="15" hidden="1" customHeight="1">
      <c r="B212" s="174" t="s">
        <v>456</v>
      </c>
      <c r="C212" s="174"/>
      <c r="D212" s="174"/>
      <c r="E212" s="174"/>
      <c r="F212" s="174"/>
      <c r="G212" s="174"/>
      <c r="H212" s="174"/>
      <c r="I212" s="174"/>
      <c r="J212" s="174"/>
      <c r="K212" s="174"/>
      <c r="L212" s="174"/>
      <c r="M212" s="174"/>
    </row>
    <row r="213" spans="2:17" ht="15" hidden="1" customHeight="1">
      <c r="B213" s="176" t="s">
        <v>457</v>
      </c>
    </row>
    <row r="214" spans="2:17" ht="15" hidden="1" customHeight="1">
      <c r="B214" s="176" t="s">
        <v>458</v>
      </c>
    </row>
    <row r="215" spans="2:17" ht="15" hidden="1" customHeight="1">
      <c r="B215" s="176" t="s">
        <v>637</v>
      </c>
    </row>
    <row r="216" spans="2:17" ht="14.25" hidden="1" customHeight="1">
      <c r="B216" s="848" t="s">
        <v>307</v>
      </c>
      <c r="C216" s="848" t="s">
        <v>465</v>
      </c>
      <c r="D216" s="848" t="s">
        <v>620</v>
      </c>
      <c r="E216" s="848" t="s">
        <v>434</v>
      </c>
      <c r="F216" s="848"/>
      <c r="G216" s="848"/>
      <c r="H216" s="848" t="s">
        <v>435</v>
      </c>
      <c r="I216" s="848"/>
      <c r="J216" s="848"/>
      <c r="K216" s="848" t="s">
        <v>436</v>
      </c>
      <c r="L216" s="848"/>
      <c r="M216" s="848"/>
    </row>
    <row r="217" spans="2:17" ht="14.25" hidden="1" customHeight="1">
      <c r="B217" s="848"/>
      <c r="C217" s="848"/>
      <c r="D217" s="848"/>
      <c r="E217" s="848" t="s">
        <v>599</v>
      </c>
      <c r="F217" s="971" t="s">
        <v>523</v>
      </c>
      <c r="G217" s="971" t="s">
        <v>468</v>
      </c>
      <c r="H217" s="971" t="s">
        <v>599</v>
      </c>
      <c r="I217" s="119" t="s">
        <v>546</v>
      </c>
      <c r="J217" s="848" t="s">
        <v>468</v>
      </c>
      <c r="K217" s="848" t="s">
        <v>599</v>
      </c>
      <c r="L217" s="119" t="s">
        <v>546</v>
      </c>
      <c r="M217" s="848" t="s">
        <v>468</v>
      </c>
    </row>
    <row r="218" spans="2:17" ht="14.25" hidden="1" customHeight="1">
      <c r="B218" s="848"/>
      <c r="C218" s="848"/>
      <c r="D218" s="848"/>
      <c r="E218" s="848"/>
      <c r="F218" s="971"/>
      <c r="G218" s="971"/>
      <c r="H218" s="971"/>
      <c r="I218" s="119" t="s">
        <v>614</v>
      </c>
      <c r="J218" s="848"/>
      <c r="K218" s="848"/>
      <c r="L218" s="119" t="s">
        <v>614</v>
      </c>
      <c r="M218" s="848"/>
    </row>
    <row r="219" spans="2:17" ht="25.5" hidden="1" customHeight="1">
      <c r="B219" s="119">
        <v>1</v>
      </c>
      <c r="C219" s="136" t="s">
        <v>638</v>
      </c>
      <c r="D219" s="52" t="s">
        <v>631</v>
      </c>
      <c r="E219" s="52">
        <v>1</v>
      </c>
      <c r="F219" s="342">
        <v>0</v>
      </c>
      <c r="G219" s="342">
        <v>0</v>
      </c>
      <c r="H219" s="321">
        <v>0</v>
      </c>
      <c r="I219" s="178">
        <v>0</v>
      </c>
      <c r="J219" s="178">
        <v>0</v>
      </c>
      <c r="K219" s="178">
        <v>0</v>
      </c>
      <c r="L219" s="178">
        <v>0</v>
      </c>
      <c r="M219" s="178">
        <v>0</v>
      </c>
      <c r="Q219" s="202">
        <v>59848.95</v>
      </c>
    </row>
    <row r="220" spans="2:17" ht="15" hidden="1" customHeight="1">
      <c r="B220" s="198"/>
      <c r="C220" s="188" t="s">
        <v>475</v>
      </c>
      <c r="D220" s="198"/>
      <c r="E220" s="205">
        <f>SUM(E219:E219)</f>
        <v>1</v>
      </c>
      <c r="F220" s="354" t="s">
        <v>32</v>
      </c>
      <c r="G220" s="342">
        <f>G219</f>
        <v>0</v>
      </c>
      <c r="H220" s="354" t="s">
        <v>32</v>
      </c>
      <c r="I220" s="52" t="s">
        <v>32</v>
      </c>
      <c r="J220" s="52" t="s">
        <v>32</v>
      </c>
      <c r="K220" s="52" t="s">
        <v>32</v>
      </c>
      <c r="L220" s="52" t="s">
        <v>32</v>
      </c>
      <c r="M220" s="52" t="s">
        <v>32</v>
      </c>
    </row>
    <row r="221" spans="2:17" ht="21" hidden="1" customHeight="1"/>
    <row r="222" spans="2:17" ht="33.75" hidden="1" customHeight="1">
      <c r="B222" s="174" t="s">
        <v>456</v>
      </c>
      <c r="C222" s="174"/>
      <c r="D222" s="174"/>
      <c r="E222" s="174"/>
      <c r="F222" s="174"/>
      <c r="G222" s="174"/>
      <c r="H222" s="174"/>
      <c r="I222" s="174"/>
      <c r="J222" s="174"/>
      <c r="K222" s="174"/>
      <c r="L222" s="174"/>
      <c r="M222" s="174"/>
    </row>
    <row r="223" spans="2:17" ht="15" hidden="1" customHeight="1">
      <c r="B223" s="176" t="s">
        <v>457</v>
      </c>
    </row>
    <row r="224" spans="2:17" ht="15" hidden="1" customHeight="1">
      <c r="B224" s="176" t="s">
        <v>639</v>
      </c>
    </row>
    <row r="225" spans="2:17" ht="15" hidden="1" customHeight="1">
      <c r="B225" s="176" t="s">
        <v>637</v>
      </c>
    </row>
    <row r="226" spans="2:17" ht="14.25" hidden="1" customHeight="1">
      <c r="B226" s="848" t="s">
        <v>307</v>
      </c>
      <c r="C226" s="848" t="s">
        <v>465</v>
      </c>
      <c r="D226" s="848" t="s">
        <v>620</v>
      </c>
      <c r="E226" s="848" t="s">
        <v>434</v>
      </c>
      <c r="F226" s="848"/>
      <c r="G226" s="848"/>
      <c r="H226" s="848" t="s">
        <v>435</v>
      </c>
      <c r="I226" s="848"/>
      <c r="J226" s="848"/>
      <c r="K226" s="848" t="s">
        <v>436</v>
      </c>
      <c r="L226" s="848"/>
      <c r="M226" s="848"/>
    </row>
    <row r="227" spans="2:17" ht="14.25" hidden="1" customHeight="1">
      <c r="B227" s="848"/>
      <c r="C227" s="848"/>
      <c r="D227" s="848"/>
      <c r="E227" s="848" t="s">
        <v>599</v>
      </c>
      <c r="F227" s="848" t="s">
        <v>523</v>
      </c>
      <c r="G227" s="848" t="s">
        <v>468</v>
      </c>
      <c r="H227" s="848" t="s">
        <v>599</v>
      </c>
      <c r="I227" s="119" t="s">
        <v>546</v>
      </c>
      <c r="J227" s="848" t="s">
        <v>468</v>
      </c>
      <c r="K227" s="848" t="s">
        <v>599</v>
      </c>
      <c r="L227" s="119" t="s">
        <v>546</v>
      </c>
      <c r="M227" s="848" t="s">
        <v>468</v>
      </c>
    </row>
    <row r="228" spans="2:17" ht="14.25" hidden="1" customHeight="1">
      <c r="B228" s="848"/>
      <c r="C228" s="848"/>
      <c r="D228" s="848"/>
      <c r="E228" s="848"/>
      <c r="F228" s="848"/>
      <c r="G228" s="848"/>
      <c r="H228" s="848"/>
      <c r="I228" s="119" t="s">
        <v>614</v>
      </c>
      <c r="J228" s="848"/>
      <c r="K228" s="848"/>
      <c r="L228" s="119" t="s">
        <v>614</v>
      </c>
      <c r="M228" s="848"/>
    </row>
    <row r="229" spans="2:17" ht="25.5" hidden="1" customHeight="1">
      <c r="B229" s="119">
        <v>1</v>
      </c>
      <c r="C229" s="136" t="s">
        <v>638</v>
      </c>
      <c r="D229" s="52" t="s">
        <v>631</v>
      </c>
      <c r="E229" s="52">
        <v>20</v>
      </c>
      <c r="F229" s="202">
        <v>0</v>
      </c>
      <c r="G229" s="202">
        <v>0</v>
      </c>
      <c r="H229" s="178">
        <v>0</v>
      </c>
      <c r="I229" s="178">
        <v>0</v>
      </c>
      <c r="J229" s="178">
        <v>0</v>
      </c>
      <c r="K229" s="178">
        <v>0</v>
      </c>
      <c r="L229" s="178">
        <v>0</v>
      </c>
      <c r="M229" s="178">
        <v>0</v>
      </c>
      <c r="Q229" s="202">
        <v>340900</v>
      </c>
    </row>
    <row r="230" spans="2:17" ht="15" hidden="1" customHeight="1">
      <c r="B230" s="198"/>
      <c r="C230" s="188" t="s">
        <v>475</v>
      </c>
      <c r="D230" s="198"/>
      <c r="E230" s="205">
        <f>SUM(E229:E229)</f>
        <v>20</v>
      </c>
      <c r="F230" s="52" t="s">
        <v>32</v>
      </c>
      <c r="G230" s="202">
        <f>G229</f>
        <v>0</v>
      </c>
      <c r="H230" s="52" t="s">
        <v>32</v>
      </c>
      <c r="I230" s="52" t="s">
        <v>32</v>
      </c>
      <c r="J230" s="52" t="s">
        <v>32</v>
      </c>
      <c r="K230" s="52" t="s">
        <v>32</v>
      </c>
      <c r="L230" s="52" t="s">
        <v>32</v>
      </c>
      <c r="M230" s="52" t="s">
        <v>32</v>
      </c>
    </row>
    <row r="231" spans="2:17" ht="24" hidden="1" customHeight="1"/>
    <row r="232" spans="2:17" ht="25.5" hidden="1" customHeight="1">
      <c r="B232" s="174" t="s">
        <v>456</v>
      </c>
      <c r="C232" s="174"/>
      <c r="D232" s="174"/>
      <c r="E232" s="174"/>
      <c r="F232" s="174"/>
      <c r="G232" s="174"/>
      <c r="H232" s="174"/>
      <c r="I232" s="174"/>
      <c r="J232" s="174"/>
      <c r="K232" s="174"/>
      <c r="L232" s="174"/>
      <c r="M232" s="174"/>
    </row>
    <row r="233" spans="2:17" ht="15" hidden="1" customHeight="1">
      <c r="B233" s="176" t="s">
        <v>457</v>
      </c>
    </row>
    <row r="234" spans="2:17" ht="15" hidden="1" customHeight="1">
      <c r="B234" s="44" t="s">
        <v>640</v>
      </c>
    </row>
    <row r="235" spans="2:17" s="206" customFormat="1" ht="18" hidden="1" customHeight="1">
      <c r="B235" s="176" t="s">
        <v>637</v>
      </c>
      <c r="C235" s="44"/>
      <c r="D235" s="44"/>
      <c r="E235" s="44"/>
      <c r="F235" s="44"/>
      <c r="G235" s="44"/>
      <c r="H235" s="44"/>
      <c r="I235" s="44"/>
      <c r="J235" s="44"/>
      <c r="K235" s="44"/>
      <c r="L235" s="44"/>
      <c r="M235" s="44"/>
      <c r="N235" s="44"/>
      <c r="O235" s="44"/>
    </row>
    <row r="236" spans="2:17" ht="14.25" hidden="1" customHeight="1">
      <c r="B236" s="848" t="s">
        <v>307</v>
      </c>
      <c r="C236" s="848" t="s">
        <v>465</v>
      </c>
      <c r="D236" s="848" t="s">
        <v>620</v>
      </c>
      <c r="E236" s="848" t="s">
        <v>434</v>
      </c>
      <c r="F236" s="848"/>
      <c r="G236" s="848"/>
      <c r="H236" s="848" t="s">
        <v>435</v>
      </c>
      <c r="I236" s="848"/>
      <c r="J236" s="848"/>
      <c r="K236" s="848" t="s">
        <v>436</v>
      </c>
      <c r="L236" s="848"/>
      <c r="M236" s="848"/>
    </row>
    <row r="237" spans="2:17" ht="14.25" hidden="1" customHeight="1">
      <c r="B237" s="848"/>
      <c r="C237" s="848"/>
      <c r="D237" s="848"/>
      <c r="E237" s="848" t="s">
        <v>599</v>
      </c>
      <c r="F237" s="971" t="s">
        <v>523</v>
      </c>
      <c r="G237" s="971" t="s">
        <v>468</v>
      </c>
      <c r="H237" s="971" t="s">
        <v>599</v>
      </c>
      <c r="I237" s="119" t="s">
        <v>546</v>
      </c>
      <c r="J237" s="848" t="s">
        <v>468</v>
      </c>
      <c r="K237" s="848" t="s">
        <v>599</v>
      </c>
      <c r="L237" s="119" t="s">
        <v>546</v>
      </c>
      <c r="M237" s="848" t="s">
        <v>468</v>
      </c>
    </row>
    <row r="238" spans="2:17" ht="14.25" hidden="1" customHeight="1">
      <c r="B238" s="848"/>
      <c r="C238" s="848"/>
      <c r="D238" s="848"/>
      <c r="E238" s="848"/>
      <c r="F238" s="971"/>
      <c r="G238" s="971"/>
      <c r="H238" s="971"/>
      <c r="I238" s="119" t="s">
        <v>614</v>
      </c>
      <c r="J238" s="848"/>
      <c r="K238" s="848"/>
      <c r="L238" s="119" t="s">
        <v>614</v>
      </c>
      <c r="M238" s="848"/>
    </row>
    <row r="239" spans="2:17" ht="24.75" hidden="1" customHeight="1">
      <c r="B239" s="119">
        <v>1</v>
      </c>
      <c r="C239" s="136" t="s">
        <v>638</v>
      </c>
      <c r="D239" s="52" t="s">
        <v>631</v>
      </c>
      <c r="E239" s="52">
        <v>25</v>
      </c>
      <c r="F239" s="342">
        <v>0</v>
      </c>
      <c r="G239" s="342">
        <v>0</v>
      </c>
      <c r="H239" s="321">
        <v>0</v>
      </c>
      <c r="I239" s="178">
        <v>0</v>
      </c>
      <c r="J239" s="178">
        <v>0</v>
      </c>
      <c r="K239" s="178">
        <v>0</v>
      </c>
      <c r="L239" s="178">
        <v>0</v>
      </c>
      <c r="M239" s="178">
        <v>0</v>
      </c>
      <c r="Q239" s="202">
        <v>795400</v>
      </c>
    </row>
    <row r="240" spans="2:17" ht="15" hidden="1" customHeight="1">
      <c r="B240" s="198"/>
      <c r="C240" s="188" t="s">
        <v>475</v>
      </c>
      <c r="D240" s="198"/>
      <c r="E240" s="205">
        <f>SUM(E239:E239)</f>
        <v>25</v>
      </c>
      <c r="F240" s="354" t="s">
        <v>32</v>
      </c>
      <c r="G240" s="342">
        <f>SUM(G239:G239)</f>
        <v>0</v>
      </c>
      <c r="H240" s="354" t="s">
        <v>32</v>
      </c>
      <c r="I240" s="52" t="s">
        <v>32</v>
      </c>
      <c r="J240" s="52" t="s">
        <v>32</v>
      </c>
      <c r="K240" s="52" t="s">
        <v>32</v>
      </c>
      <c r="L240" s="52" t="s">
        <v>32</v>
      </c>
      <c r="M240" s="52" t="s">
        <v>32</v>
      </c>
    </row>
    <row r="241" spans="2:17" ht="15" hidden="1" customHeight="1">
      <c r="C241" s="191"/>
      <c r="E241" s="207"/>
      <c r="F241" s="45"/>
      <c r="G241" s="193"/>
      <c r="H241" s="45"/>
      <c r="I241" s="45"/>
      <c r="J241" s="45"/>
      <c r="K241" s="45"/>
      <c r="L241" s="45"/>
      <c r="M241" s="45"/>
      <c r="Q241" t="s">
        <v>641</v>
      </c>
    </row>
    <row r="242" spans="2:17" ht="15" hidden="1" customHeight="1">
      <c r="B242" s="206" t="s">
        <v>463</v>
      </c>
      <c r="C242" s="206"/>
      <c r="D242" s="206"/>
      <c r="E242" s="206"/>
      <c r="F242" s="206"/>
      <c r="G242" s="206"/>
      <c r="H242" s="206"/>
      <c r="I242" s="206"/>
      <c r="J242" s="206"/>
      <c r="K242" s="206"/>
      <c r="L242" s="206"/>
      <c r="M242" s="206"/>
    </row>
    <row r="243" spans="2:17" ht="15" hidden="1" customHeight="1">
      <c r="B243" s="44" t="s">
        <v>459</v>
      </c>
    </row>
    <row r="244" spans="2:17" ht="15" hidden="1" customHeight="1">
      <c r="B244" s="44" t="s">
        <v>709</v>
      </c>
    </row>
    <row r="245" spans="2:17" s="206" customFormat="1" ht="15" hidden="1" customHeight="1">
      <c r="B245" s="176" t="s">
        <v>710</v>
      </c>
      <c r="C245" s="44"/>
      <c r="D245" s="44"/>
      <c r="E245" s="44"/>
      <c r="F245" s="44"/>
      <c r="G245" s="44"/>
      <c r="H245" s="44"/>
      <c r="I245" s="44"/>
      <c r="J245" s="44"/>
      <c r="K245" s="44"/>
      <c r="L245" s="44"/>
      <c r="M245" s="44"/>
      <c r="N245" s="44"/>
      <c r="O245" s="44"/>
    </row>
    <row r="246" spans="2:17" ht="15" hidden="1" customHeight="1">
      <c r="B246" s="848" t="s">
        <v>307</v>
      </c>
      <c r="C246" s="848" t="s">
        <v>465</v>
      </c>
      <c r="D246" s="848" t="s">
        <v>620</v>
      </c>
      <c r="E246" s="848" t="s">
        <v>434</v>
      </c>
      <c r="F246" s="848"/>
      <c r="G246" s="848"/>
      <c r="H246" s="848" t="s">
        <v>435</v>
      </c>
      <c r="I246" s="848"/>
      <c r="J246" s="848"/>
      <c r="K246" s="848" t="s">
        <v>436</v>
      </c>
      <c r="L246" s="848"/>
      <c r="M246" s="848"/>
    </row>
    <row r="247" spans="2:17" ht="15" hidden="1" customHeight="1">
      <c r="B247" s="848"/>
      <c r="C247" s="848"/>
      <c r="D247" s="848"/>
      <c r="E247" s="848" t="s">
        <v>599</v>
      </c>
      <c r="F247" s="848" t="s">
        <v>523</v>
      </c>
      <c r="G247" s="848" t="s">
        <v>468</v>
      </c>
      <c r="H247" s="848" t="s">
        <v>599</v>
      </c>
      <c r="I247" s="119" t="s">
        <v>546</v>
      </c>
      <c r="J247" s="848" t="s">
        <v>468</v>
      </c>
      <c r="K247" s="848" t="s">
        <v>599</v>
      </c>
      <c r="L247" s="119" t="s">
        <v>546</v>
      </c>
      <c r="M247" s="848" t="s">
        <v>468</v>
      </c>
    </row>
    <row r="248" spans="2:17" ht="15" hidden="1" customHeight="1">
      <c r="B248" s="848"/>
      <c r="C248" s="848"/>
      <c r="D248" s="848"/>
      <c r="E248" s="848"/>
      <c r="F248" s="848"/>
      <c r="G248" s="848"/>
      <c r="H248" s="848"/>
      <c r="I248" s="119" t="s">
        <v>614</v>
      </c>
      <c r="J248" s="848"/>
      <c r="K248" s="848"/>
      <c r="L248" s="119" t="s">
        <v>614</v>
      </c>
      <c r="M248" s="848"/>
    </row>
    <row r="249" spans="2:17" s="322" customFormat="1" ht="40.5" hidden="1" customHeight="1">
      <c r="B249" s="320">
        <v>1</v>
      </c>
      <c r="C249" s="320" t="s">
        <v>715</v>
      </c>
      <c r="D249" s="323" t="s">
        <v>631</v>
      </c>
      <c r="E249" s="323">
        <v>4</v>
      </c>
      <c r="F249" s="197">
        <f t="shared" ref="F249:F279" si="13">G249/E249</f>
        <v>0</v>
      </c>
      <c r="G249" s="324">
        <v>0</v>
      </c>
      <c r="H249" s="321">
        <v>0</v>
      </c>
      <c r="I249" s="321">
        <v>0</v>
      </c>
      <c r="J249" s="321">
        <v>0</v>
      </c>
      <c r="K249" s="321">
        <v>0</v>
      </c>
      <c r="L249" s="321">
        <v>0</v>
      </c>
      <c r="M249" s="321">
        <v>0</v>
      </c>
    </row>
    <row r="250" spans="2:17" s="322" customFormat="1" ht="25.5" hidden="1" customHeight="1">
      <c r="B250" s="320">
        <v>2</v>
      </c>
      <c r="C250" s="320" t="s">
        <v>716</v>
      </c>
      <c r="D250" s="323" t="s">
        <v>631</v>
      </c>
      <c r="E250" s="323">
        <v>391</v>
      </c>
      <c r="F250" s="197">
        <f t="shared" si="13"/>
        <v>0</v>
      </c>
      <c r="G250" s="324">
        <v>0</v>
      </c>
      <c r="H250" s="321">
        <v>0</v>
      </c>
      <c r="I250" s="321">
        <v>0</v>
      </c>
      <c r="J250" s="321">
        <v>0</v>
      </c>
      <c r="K250" s="321">
        <v>0</v>
      </c>
      <c r="L250" s="321">
        <v>0</v>
      </c>
      <c r="M250" s="321">
        <v>0</v>
      </c>
    </row>
    <row r="251" spans="2:17" s="322" customFormat="1" ht="38.25" hidden="1" customHeight="1">
      <c r="B251" s="320">
        <v>3</v>
      </c>
      <c r="C251" s="320" t="s">
        <v>717</v>
      </c>
      <c r="D251" s="323" t="s">
        <v>631</v>
      </c>
      <c r="E251" s="323">
        <v>755</v>
      </c>
      <c r="F251" s="197">
        <f t="shared" si="13"/>
        <v>0</v>
      </c>
      <c r="G251" s="324">
        <v>0</v>
      </c>
      <c r="H251" s="321">
        <v>0</v>
      </c>
      <c r="I251" s="321">
        <v>0</v>
      </c>
      <c r="J251" s="321">
        <v>0</v>
      </c>
      <c r="K251" s="321">
        <v>0</v>
      </c>
      <c r="L251" s="321">
        <v>0</v>
      </c>
      <c r="M251" s="321">
        <v>0</v>
      </c>
    </row>
    <row r="252" spans="2:17" ht="25.5" hidden="1" customHeight="1">
      <c r="B252" s="316">
        <v>4</v>
      </c>
      <c r="C252" s="316" t="s">
        <v>643</v>
      </c>
      <c r="D252" s="187" t="s">
        <v>631</v>
      </c>
      <c r="E252" s="187">
        <f>45+2</f>
        <v>47</v>
      </c>
      <c r="F252" s="197">
        <f t="shared" si="13"/>
        <v>0</v>
      </c>
      <c r="G252" s="197">
        <v>0</v>
      </c>
      <c r="H252" s="178">
        <v>0</v>
      </c>
      <c r="I252" s="178">
        <v>0</v>
      </c>
      <c r="J252" s="178">
        <v>0</v>
      </c>
      <c r="K252" s="178">
        <v>0</v>
      </c>
      <c r="L252" s="178">
        <v>0</v>
      </c>
      <c r="M252" s="178">
        <v>0</v>
      </c>
    </row>
    <row r="253" spans="2:17" ht="15" hidden="1" customHeight="1">
      <c r="B253" s="198"/>
      <c r="C253" s="188" t="s">
        <v>475</v>
      </c>
      <c r="D253" s="198"/>
      <c r="E253" s="205" t="s">
        <v>32</v>
      </c>
      <c r="F253" s="52" t="s">
        <v>32</v>
      </c>
      <c r="G253" s="202">
        <f>SUM(G249:G252)</f>
        <v>0</v>
      </c>
      <c r="H253" s="52" t="s">
        <v>32</v>
      </c>
      <c r="I253" s="52" t="s">
        <v>32</v>
      </c>
      <c r="J253" s="202">
        <f>SUM(J249:J252)</f>
        <v>0</v>
      </c>
      <c r="K253" s="52" t="s">
        <v>32</v>
      </c>
      <c r="L253" s="52" t="s">
        <v>32</v>
      </c>
      <c r="M253" s="202">
        <f>SUM(M249:M252)</f>
        <v>0</v>
      </c>
    </row>
    <row r="254" spans="2:17">
      <c r="C254" s="191"/>
      <c r="E254" s="207"/>
      <c r="F254" s="45"/>
      <c r="G254" s="193"/>
      <c r="H254" s="45"/>
      <c r="I254" s="45"/>
      <c r="J254" s="45"/>
      <c r="K254" s="45"/>
      <c r="L254" s="45"/>
      <c r="M254" s="45"/>
      <c r="Q254" t="s">
        <v>644</v>
      </c>
    </row>
    <row r="255" spans="2:17">
      <c r="B255" s="206" t="s">
        <v>460</v>
      </c>
      <c r="C255" s="206"/>
      <c r="D255" s="206"/>
      <c r="E255" s="206"/>
      <c r="F255" s="206"/>
      <c r="G255" s="206"/>
      <c r="H255" s="206"/>
      <c r="I255" s="206"/>
      <c r="J255" s="206"/>
      <c r="K255" s="206"/>
      <c r="L255" s="206"/>
      <c r="M255" s="206"/>
    </row>
    <row r="256" spans="2:17">
      <c r="B256" s="44" t="s">
        <v>461</v>
      </c>
    </row>
    <row r="257" spans="2:13">
      <c r="B257" s="44" t="s">
        <v>462</v>
      </c>
    </row>
    <row r="258" spans="2:13">
      <c r="B258" s="176" t="s">
        <v>642</v>
      </c>
    </row>
    <row r="259" spans="2:13">
      <c r="B259" s="848" t="s">
        <v>307</v>
      </c>
      <c r="C259" s="848" t="s">
        <v>465</v>
      </c>
      <c r="D259" s="848" t="s">
        <v>620</v>
      </c>
      <c r="E259" s="848" t="s">
        <v>434</v>
      </c>
      <c r="F259" s="848"/>
      <c r="G259" s="848"/>
      <c r="H259" s="848" t="s">
        <v>435</v>
      </c>
      <c r="I259" s="848"/>
      <c r="J259" s="848"/>
      <c r="K259" s="848" t="s">
        <v>436</v>
      </c>
      <c r="L259" s="848"/>
      <c r="M259" s="848"/>
    </row>
    <row r="260" spans="2:13">
      <c r="B260" s="848"/>
      <c r="C260" s="848"/>
      <c r="D260" s="848"/>
      <c r="E260" s="848" t="s">
        <v>599</v>
      </c>
      <c r="F260" s="848" t="s">
        <v>523</v>
      </c>
      <c r="G260" s="848" t="s">
        <v>468</v>
      </c>
      <c r="H260" s="848" t="s">
        <v>599</v>
      </c>
      <c r="I260" s="119" t="s">
        <v>546</v>
      </c>
      <c r="J260" s="848" t="s">
        <v>468</v>
      </c>
      <c r="K260" s="848" t="s">
        <v>599</v>
      </c>
      <c r="L260" s="119" t="s">
        <v>546</v>
      </c>
      <c r="M260" s="848" t="s">
        <v>468</v>
      </c>
    </row>
    <row r="261" spans="2:13">
      <c r="B261" s="848"/>
      <c r="C261" s="848"/>
      <c r="D261" s="848"/>
      <c r="E261" s="848"/>
      <c r="F261" s="848"/>
      <c r="G261" s="848"/>
      <c r="H261" s="848"/>
      <c r="I261" s="119" t="s">
        <v>614</v>
      </c>
      <c r="J261" s="848"/>
      <c r="K261" s="848"/>
      <c r="L261" s="119" t="s">
        <v>614</v>
      </c>
      <c r="M261" s="848"/>
    </row>
    <row r="262" spans="2:13" ht="25.5">
      <c r="B262" s="119">
        <v>1</v>
      </c>
      <c r="C262" s="600" t="s">
        <v>838</v>
      </c>
      <c r="D262" s="52" t="s">
        <v>645</v>
      </c>
      <c r="E262" s="52">
        <v>30</v>
      </c>
      <c r="F262" s="202">
        <f t="shared" si="13"/>
        <v>9800</v>
      </c>
      <c r="G262" s="202">
        <v>294000</v>
      </c>
      <c r="H262" s="208">
        <v>0</v>
      </c>
      <c r="I262" s="208">
        <v>0</v>
      </c>
      <c r="J262" s="208">
        <v>0</v>
      </c>
      <c r="K262" s="208">
        <v>0</v>
      </c>
      <c r="L262" s="208">
        <v>0</v>
      </c>
      <c r="M262" s="208">
        <v>0</v>
      </c>
    </row>
    <row r="263" spans="2:13">
      <c r="B263" s="198"/>
      <c r="C263" s="188" t="s">
        <v>475</v>
      </c>
      <c r="D263" s="198"/>
      <c r="E263" s="205">
        <f>SUM(E261:E262)</f>
        <v>30</v>
      </c>
      <c r="F263" s="52" t="s">
        <v>32</v>
      </c>
      <c r="G263" s="202">
        <f>SUM(G260:G262)</f>
        <v>294000</v>
      </c>
      <c r="H263" s="52" t="s">
        <v>32</v>
      </c>
      <c r="I263" s="52" t="s">
        <v>32</v>
      </c>
      <c r="J263" s="52" t="s">
        <v>32</v>
      </c>
      <c r="K263" s="52" t="s">
        <v>32</v>
      </c>
      <c r="L263" s="52" t="s">
        <v>32</v>
      </c>
      <c r="M263" s="52" t="s">
        <v>32</v>
      </c>
    </row>
    <row r="264" spans="2:13" ht="15" hidden="1" customHeight="1"/>
    <row r="265" spans="2:13" ht="15" hidden="1" customHeight="1">
      <c r="B265" s="175" t="s">
        <v>460</v>
      </c>
      <c r="C265" s="175"/>
      <c r="D265" s="175"/>
      <c r="E265" s="175"/>
      <c r="F265" s="175"/>
      <c r="G265" s="175"/>
      <c r="H265" s="175"/>
      <c r="I265" s="175"/>
      <c r="J265" s="175"/>
      <c r="K265" s="175"/>
      <c r="L265" s="175"/>
      <c r="M265" s="175"/>
    </row>
    <row r="266" spans="2:13" ht="15" hidden="1" customHeight="1">
      <c r="B266" s="176" t="s">
        <v>461</v>
      </c>
    </row>
    <row r="267" spans="2:13" ht="15" hidden="1" customHeight="1">
      <c r="B267" s="44" t="s">
        <v>462</v>
      </c>
    </row>
    <row r="268" spans="2:13" ht="15" hidden="1" customHeight="1">
      <c r="B268" s="176" t="s">
        <v>470</v>
      </c>
    </row>
    <row r="269" spans="2:13" ht="14.25" hidden="1" customHeight="1">
      <c r="B269" s="848" t="s">
        <v>307</v>
      </c>
      <c r="C269" s="848" t="s">
        <v>465</v>
      </c>
      <c r="D269" s="848" t="s">
        <v>620</v>
      </c>
      <c r="E269" s="848" t="s">
        <v>434</v>
      </c>
      <c r="F269" s="848"/>
      <c r="G269" s="848"/>
      <c r="H269" s="848" t="s">
        <v>435</v>
      </c>
      <c r="I269" s="848"/>
      <c r="J269" s="848"/>
      <c r="K269" s="848" t="s">
        <v>436</v>
      </c>
      <c r="L269" s="848"/>
      <c r="M269" s="848"/>
    </row>
    <row r="270" spans="2:13" ht="14.25" hidden="1" customHeight="1">
      <c r="B270" s="848"/>
      <c r="C270" s="848"/>
      <c r="D270" s="848"/>
      <c r="E270" s="848" t="s">
        <v>599</v>
      </c>
      <c r="F270" s="848" t="s">
        <v>523</v>
      </c>
      <c r="G270" s="848" t="s">
        <v>468</v>
      </c>
      <c r="H270" s="848" t="s">
        <v>599</v>
      </c>
      <c r="I270" s="119" t="s">
        <v>546</v>
      </c>
      <c r="J270" s="848" t="s">
        <v>468</v>
      </c>
      <c r="K270" s="848" t="s">
        <v>599</v>
      </c>
      <c r="L270" s="119" t="s">
        <v>546</v>
      </c>
      <c r="M270" s="848" t="s">
        <v>468</v>
      </c>
    </row>
    <row r="271" spans="2:13" ht="14.25" hidden="1" customHeight="1">
      <c r="B271" s="848"/>
      <c r="C271" s="848"/>
      <c r="D271" s="848"/>
      <c r="E271" s="848"/>
      <c r="F271" s="848"/>
      <c r="G271" s="848"/>
      <c r="H271" s="848"/>
      <c r="I271" s="119" t="s">
        <v>614</v>
      </c>
      <c r="J271" s="848"/>
      <c r="K271" s="848"/>
      <c r="L271" s="119" t="s">
        <v>614</v>
      </c>
      <c r="M271" s="848"/>
    </row>
    <row r="272" spans="2:13" ht="25.5" hidden="1" customHeight="1">
      <c r="B272" s="370">
        <v>1</v>
      </c>
      <c r="C272" s="389" t="s">
        <v>821</v>
      </c>
      <c r="D272" s="390" t="s">
        <v>631</v>
      </c>
      <c r="E272" s="390">
        <v>1541</v>
      </c>
      <c r="F272" s="391">
        <f t="shared" si="13"/>
        <v>41.58</v>
      </c>
      <c r="G272" s="388">
        <v>64078</v>
      </c>
      <c r="H272" s="390">
        <v>1541</v>
      </c>
      <c r="I272" s="391">
        <f t="shared" ref="I272:I279" si="14">J272/H272</f>
        <v>41.58</v>
      </c>
      <c r="J272" s="392">
        <v>64078</v>
      </c>
      <c r="K272" s="390">
        <v>1541</v>
      </c>
      <c r="L272" s="391">
        <f t="shared" ref="L272:L279" si="15">M272/K272</f>
        <v>41.58</v>
      </c>
      <c r="M272" s="392">
        <v>64078</v>
      </c>
    </row>
    <row r="273" spans="2:16" ht="38.25" hidden="1" customHeight="1">
      <c r="B273" s="370">
        <v>2</v>
      </c>
      <c r="C273" s="389" t="s">
        <v>722</v>
      </c>
      <c r="D273" s="390" t="s">
        <v>631</v>
      </c>
      <c r="E273" s="390">
        <f>13+5</f>
        <v>18</v>
      </c>
      <c r="F273" s="391">
        <f t="shared" si="13"/>
        <v>2778.52</v>
      </c>
      <c r="G273" s="388">
        <v>50013.29</v>
      </c>
      <c r="H273" s="390">
        <v>13</v>
      </c>
      <c r="I273" s="391">
        <f t="shared" si="14"/>
        <v>3847.18</v>
      </c>
      <c r="J273" s="392">
        <v>50013.29</v>
      </c>
      <c r="K273" s="390">
        <v>13</v>
      </c>
      <c r="L273" s="391">
        <f t="shared" si="15"/>
        <v>3847.18</v>
      </c>
      <c r="M273" s="392">
        <v>50013.29</v>
      </c>
    </row>
    <row r="274" spans="2:16" ht="25.5" hidden="1" customHeight="1">
      <c r="B274" s="370">
        <v>3</v>
      </c>
      <c r="C274" s="389" t="s">
        <v>646</v>
      </c>
      <c r="D274" s="390" t="s">
        <v>631</v>
      </c>
      <c r="E274" s="390">
        <v>6193</v>
      </c>
      <c r="F274" s="391">
        <f t="shared" si="13"/>
        <v>13.06</v>
      </c>
      <c r="G274" s="388">
        <v>80867.289999999994</v>
      </c>
      <c r="H274" s="390">
        <v>6193</v>
      </c>
      <c r="I274" s="391">
        <f t="shared" si="14"/>
        <v>13.06</v>
      </c>
      <c r="J274" s="392">
        <v>80867.289999999994</v>
      </c>
      <c r="K274" s="390">
        <v>6193</v>
      </c>
      <c r="L274" s="391">
        <f t="shared" si="15"/>
        <v>13.06</v>
      </c>
      <c r="M274" s="392">
        <v>80867.289999999994</v>
      </c>
    </row>
    <row r="275" spans="2:16" ht="63.75" hidden="1" customHeight="1">
      <c r="B275" s="370">
        <v>4</v>
      </c>
      <c r="C275" s="389" t="s">
        <v>760</v>
      </c>
      <c r="D275" s="390" t="s">
        <v>631</v>
      </c>
      <c r="E275" s="390">
        <v>50</v>
      </c>
      <c r="F275" s="391">
        <f>G275/E275</f>
        <v>357.3</v>
      </c>
      <c r="G275" s="388">
        <v>17864.91</v>
      </c>
      <c r="H275" s="390">
        <v>50</v>
      </c>
      <c r="I275" s="391">
        <f t="shared" si="14"/>
        <v>419.54</v>
      </c>
      <c r="J275" s="392">
        <v>20977.18</v>
      </c>
      <c r="K275" s="390">
        <v>50</v>
      </c>
      <c r="L275" s="391">
        <f t="shared" si="15"/>
        <v>415.78</v>
      </c>
      <c r="M275" s="392">
        <v>20789.150000000001</v>
      </c>
    </row>
    <row r="276" spans="2:16" s="180" customFormat="1" ht="38.25" hidden="1" customHeight="1">
      <c r="B276" s="370"/>
      <c r="C276" s="389" t="s">
        <v>822</v>
      </c>
      <c r="D276" s="390"/>
      <c r="E276" s="390" t="s">
        <v>32</v>
      </c>
      <c r="F276" s="391" t="s">
        <v>32</v>
      </c>
      <c r="G276" s="388">
        <v>286260.94</v>
      </c>
      <c r="H276" s="390" t="s">
        <v>32</v>
      </c>
      <c r="I276" s="391" t="s">
        <v>32</v>
      </c>
      <c r="J276" s="392">
        <v>286260.94</v>
      </c>
      <c r="K276" s="390" t="s">
        <v>32</v>
      </c>
      <c r="L276" s="391" t="s">
        <v>32</v>
      </c>
      <c r="M276" s="392">
        <v>286260.94</v>
      </c>
    </row>
    <row r="277" spans="2:16" s="180" customFormat="1" ht="38.25" hidden="1" customHeight="1">
      <c r="B277" s="370">
        <v>4</v>
      </c>
      <c r="C277" s="389" t="s">
        <v>823</v>
      </c>
      <c r="D277" s="390" t="s">
        <v>631</v>
      </c>
      <c r="E277" s="390" t="s">
        <v>32</v>
      </c>
      <c r="F277" s="390" t="s">
        <v>32</v>
      </c>
      <c r="G277" s="388">
        <v>246902.68</v>
      </c>
      <c r="H277" s="390" t="s">
        <v>32</v>
      </c>
      <c r="I277" s="390" t="s">
        <v>32</v>
      </c>
      <c r="J277" s="392">
        <v>246902.68</v>
      </c>
      <c r="K277" s="390" t="s">
        <v>32</v>
      </c>
      <c r="L277" s="390" t="s">
        <v>32</v>
      </c>
      <c r="M277" s="392">
        <v>246902.68</v>
      </c>
    </row>
    <row r="278" spans="2:16" s="180" customFormat="1" ht="38.25" hidden="1" customHeight="1">
      <c r="B278" s="370"/>
      <c r="C278" s="389" t="s">
        <v>824</v>
      </c>
      <c r="D278" s="390"/>
      <c r="E278" s="390" t="s">
        <v>32</v>
      </c>
      <c r="F278" s="390" t="s">
        <v>32</v>
      </c>
      <c r="G278" s="388">
        <v>29911.9</v>
      </c>
      <c r="H278" s="390" t="s">
        <v>32</v>
      </c>
      <c r="I278" s="390" t="s">
        <v>32</v>
      </c>
      <c r="J278" s="392">
        <v>29911.9</v>
      </c>
      <c r="K278" s="390" t="s">
        <v>32</v>
      </c>
      <c r="L278" s="390" t="s">
        <v>32</v>
      </c>
      <c r="M278" s="392">
        <v>29911.9</v>
      </c>
    </row>
    <row r="279" spans="2:16" ht="38.25" hidden="1" customHeight="1">
      <c r="B279" s="119">
        <v>5</v>
      </c>
      <c r="C279" s="136" t="s">
        <v>647</v>
      </c>
      <c r="D279" s="52" t="s">
        <v>648</v>
      </c>
      <c r="E279" s="52">
        <v>30000</v>
      </c>
      <c r="F279" s="189">
        <f t="shared" si="13"/>
        <v>2.27</v>
      </c>
      <c r="G279" s="202">
        <f>117600-49560</f>
        <v>68040</v>
      </c>
      <c r="H279" s="52">
        <v>60000</v>
      </c>
      <c r="I279" s="189">
        <f t="shared" si="14"/>
        <v>1.96</v>
      </c>
      <c r="J279" s="202">
        <v>117600</v>
      </c>
      <c r="K279" s="52">
        <v>60000</v>
      </c>
      <c r="L279" s="189">
        <f t="shared" si="15"/>
        <v>1.96</v>
      </c>
      <c r="M279" s="202">
        <v>117600</v>
      </c>
    </row>
    <row r="280" spans="2:16" s="180" customFormat="1" ht="30" hidden="1" customHeight="1">
      <c r="B280" s="218">
        <v>6</v>
      </c>
      <c r="C280" s="136" t="s">
        <v>757</v>
      </c>
      <c r="D280" s="52" t="s">
        <v>649</v>
      </c>
      <c r="E280" s="52">
        <v>250</v>
      </c>
      <c r="F280" s="189">
        <f t="shared" ref="F280" si="16">G280/E280</f>
        <v>221.94</v>
      </c>
      <c r="G280" s="202">
        <f>893974.32-590500.68-247989.64</f>
        <v>55484</v>
      </c>
      <c r="H280" s="52">
        <v>4028</v>
      </c>
      <c r="I280" s="189">
        <f t="shared" ref="I280" si="17">J280/H280</f>
        <v>221.94</v>
      </c>
      <c r="J280" s="202">
        <v>893974.32</v>
      </c>
      <c r="K280" s="52">
        <v>4028</v>
      </c>
      <c r="L280" s="189">
        <f t="shared" ref="L280" si="18">M280/K280</f>
        <v>221.94</v>
      </c>
      <c r="M280" s="202">
        <v>893974.32</v>
      </c>
    </row>
    <row r="281" spans="2:16" s="374" customFormat="1" ht="38.25" hidden="1" customHeight="1">
      <c r="B281" s="375">
        <v>8</v>
      </c>
      <c r="C281" s="383" t="s">
        <v>758</v>
      </c>
      <c r="D281" s="385" t="s">
        <v>649</v>
      </c>
      <c r="E281" s="385">
        <v>191</v>
      </c>
      <c r="F281" s="386">
        <v>270</v>
      </c>
      <c r="G281" s="387">
        <v>51570</v>
      </c>
      <c r="H281" s="385">
        <v>191</v>
      </c>
      <c r="I281" s="386">
        <v>270</v>
      </c>
      <c r="J281" s="387">
        <v>51570</v>
      </c>
      <c r="K281" s="385">
        <v>191</v>
      </c>
      <c r="L281" s="386">
        <v>270</v>
      </c>
      <c r="M281" s="387">
        <v>51570</v>
      </c>
    </row>
    <row r="282" spans="2:16" ht="51" hidden="1" customHeight="1">
      <c r="B282" s="119">
        <v>9</v>
      </c>
      <c r="C282" s="136" t="s">
        <v>759</v>
      </c>
      <c r="D282" s="52" t="s">
        <v>649</v>
      </c>
      <c r="E282" s="52">
        <v>1</v>
      </c>
      <c r="F282" s="189">
        <v>1159</v>
      </c>
      <c r="G282" s="202">
        <f>E282*F282</f>
        <v>1159</v>
      </c>
      <c r="H282" s="52">
        <v>0</v>
      </c>
      <c r="I282" s="189">
        <v>0</v>
      </c>
      <c r="J282" s="202">
        <f t="shared" ref="J282" si="19">H282*I282</f>
        <v>0</v>
      </c>
      <c r="K282" s="52">
        <v>0</v>
      </c>
      <c r="L282" s="189">
        <v>0</v>
      </c>
      <c r="M282" s="202">
        <f t="shared" ref="M282" si="20">K282*L282</f>
        <v>0</v>
      </c>
    </row>
    <row r="283" spans="2:16" ht="15" hidden="1" customHeight="1">
      <c r="B283" s="198"/>
      <c r="C283" s="188" t="s">
        <v>475</v>
      </c>
      <c r="D283" s="198" t="s">
        <v>32</v>
      </c>
      <c r="E283" s="52" t="s">
        <v>32</v>
      </c>
      <c r="F283" s="52" t="s">
        <v>32</v>
      </c>
      <c r="G283" s="202">
        <f>SUM(G272:G282)</f>
        <v>952152.01</v>
      </c>
      <c r="H283" s="52" t="s">
        <v>32</v>
      </c>
      <c r="I283" s="52" t="s">
        <v>32</v>
      </c>
      <c r="J283" s="202">
        <f>SUM(J272:J282)</f>
        <v>1842155.6</v>
      </c>
      <c r="K283" s="52" t="s">
        <v>32</v>
      </c>
      <c r="L283" s="52" t="s">
        <v>32</v>
      </c>
      <c r="M283" s="202">
        <f>SUM(M272:M282)</f>
        <v>1841967.57</v>
      </c>
    </row>
    <row r="284" spans="2:16" ht="15" hidden="1" customHeight="1"/>
    <row r="285" spans="2:16" ht="18.75" hidden="1" customHeight="1">
      <c r="E285" s="209"/>
      <c r="G285" s="209"/>
      <c r="H285" s="209"/>
      <c r="K285" s="209"/>
    </row>
    <row r="286" spans="2:16" ht="18.75" hidden="1" customHeight="1">
      <c r="B286" s="980" t="s">
        <v>650</v>
      </c>
      <c r="C286" s="980"/>
      <c r="D286" s="980"/>
      <c r="E286" s="980"/>
      <c r="F286" s="980"/>
      <c r="G286" s="981" t="s">
        <v>524</v>
      </c>
      <c r="H286" s="981"/>
      <c r="I286" s="981"/>
      <c r="J286" s="211"/>
      <c r="K286" s="212"/>
      <c r="L286" s="211"/>
      <c r="M286" s="211"/>
    </row>
    <row r="287" spans="2:16" ht="15" hidden="1" customHeight="1">
      <c r="B287" s="980"/>
      <c r="C287" s="980"/>
      <c r="D287" s="980"/>
      <c r="E287" s="980"/>
      <c r="F287" s="980"/>
      <c r="G287" s="210" t="s">
        <v>651</v>
      </c>
      <c r="H287" s="210" t="s">
        <v>652</v>
      </c>
      <c r="I287" s="210" t="s">
        <v>724</v>
      </c>
      <c r="J287" s="211"/>
      <c r="K287" s="211"/>
      <c r="L287" s="211"/>
      <c r="M287" s="211"/>
    </row>
    <row r="288" spans="2:16" ht="15" hidden="1" customHeight="1">
      <c r="B288" s="982" t="s">
        <v>653</v>
      </c>
      <c r="C288" s="982"/>
      <c r="D288" s="982"/>
      <c r="E288" s="982"/>
      <c r="F288" s="982"/>
      <c r="G288" s="213" t="e">
        <f>#REF!+'Лист7(214,266)'!F55+#REF!+'Лист12(224,225,226,310,342-349'!G126+'Лист12(224,225,226,310,342-349'!G153+G199+G253+G263+#REF!+G210</f>
        <v>#REF!</v>
      </c>
      <c r="H288" s="214">
        <f>'Лист7(214,266)'!J55</f>
        <v>0</v>
      </c>
      <c r="I288" s="214">
        <f>'Лист7(214,266)'!N55</f>
        <v>0</v>
      </c>
      <c r="J288" s="211"/>
      <c r="K288" s="211"/>
      <c r="L288" s="211"/>
      <c r="M288" s="211"/>
      <c r="P288" s="211" t="s">
        <v>654</v>
      </c>
    </row>
    <row r="289" spans="2:29" ht="15" hidden="1" customHeight="1">
      <c r="B289" s="983" t="s">
        <v>655</v>
      </c>
      <c r="C289" s="984"/>
      <c r="D289" s="984"/>
      <c r="E289" s="984"/>
      <c r="F289" s="985"/>
      <c r="G289" s="213" t="e">
        <f>#REF!+#REF!+#REF!+'Лист7(214,266)'!E10+'Лист7(214,266)'!F33+'Лист7(214,266)'!E65+#REF!+#REF!+#REF!+#REF!+#REF!+#REF!+#REF!+'Лист11(225)'!F19+'Лист11(225)'!G35+'Лист11(225)'!G64+'Лист12(224,225,226,310,342-349'!G36+'Лист12(224,225,226,310,342-349'!G70+'Лист12(224,225,226,310,342-349'!G80+'Лист12(224,225,226,310,342-349'!G165+'Лист12(224,225,226,310,342-349'!G220+'Лист12(224,225,226,310,342-349'!G230+'Лист12(224,225,226,310,342-349'!G240+'Лист6(211,212,226,266)'!E56+#REF!+G176</f>
        <v>#REF!</v>
      </c>
      <c r="H289" s="214" t="e">
        <f>#REF!+#REF!+#REF!+'Лист7(214,266)'!H10+'Лист7(214,266)'!J33+'Лист7(214,266)'!H65+#REF!+#REF!+#REF!+#REF!+#REF!+#REF!+#REF!+'Лист11(225)'!J19+'Лист11(225)'!K35+'Лист11(225)'!K64+'Лист12(224,225,226,310,342-349'!K36+'Лист12(224,225,226,310,342-349'!J70+'Лист12(224,225,226,310,342-349'!J80+'Лист12(224,225,226,310,342-349'!J165</f>
        <v>#REF!</v>
      </c>
      <c r="I289" s="214" t="e">
        <f>#REF!+#REF!+#REF!+'Лист7(214,266)'!K10+'Лист7(214,266)'!N33+'Лист7(214,266)'!K65+#REF!+#REF!+#REF!+#REF!+#REF!+#REF!+#REF!+'Лист11(225)'!N19+'Лист11(225)'!O35+'Лист11(225)'!O64+'Лист12(224,225,226,310,342-349'!O36+'Лист12(224,225,226,310,342-349'!M70+'Лист12(224,225,226,310,342-349'!M80+'Лист12(224,225,226,310,342-349'!M165</f>
        <v>#REF!</v>
      </c>
      <c r="J289" s="211"/>
      <c r="K289" s="211"/>
      <c r="L289" s="211"/>
      <c r="M289" s="211"/>
    </row>
    <row r="290" spans="2:29" ht="15" hidden="1" customHeight="1">
      <c r="B290" s="986" t="s">
        <v>656</v>
      </c>
      <c r="C290" s="987"/>
      <c r="D290" s="987"/>
      <c r="E290" s="987"/>
      <c r="F290" s="988"/>
      <c r="G290" s="215" t="e">
        <f>#REF!+#REF!+'Лист6(211,212,226,266)'!F9+'Лист6(211,212,226,266)'!F22+'Лист6(211,212,226,266)'!F46+'Лист7(214,266)'!E21+'Лист7(214,266)'!F44+#REF!+#REF!+#REF!+#REF!+#REF!+#REF!+'Лист11(225)'!G47+'Лист11(225)'!G79+'Лист12(224,225,226,310,342-349'!F14+G46+G90+'Лист12(224,225,226,310,342-349'!G116+'Лист12(224,225,226,310,342-349'!G283</f>
        <v>#REF!</v>
      </c>
      <c r="H290" s="214" t="e">
        <f>#REF!+#REF!+'Лист6(211,212,226,266)'!J9+'Лист6(211,212,226,266)'!J22+'Лист6(211,212,226,266)'!J46+'Лист7(214,266)'!H21+'Лист7(214,266)'!J44+#REF!+#REF!+#REF!+#REF!+#REF!+#REF!+'Лист11(225)'!K47+'Лист11(225)'!K79+'Лист12(224,225,226,310,342-349'!I14+K46+J90+'Лист12(224,225,226,310,342-349'!J116+'Лист12(224,225,226,310,342-349'!J283</f>
        <v>#REF!</v>
      </c>
      <c r="I290" s="214" t="e">
        <f>#REF!+#REF!+'Лист6(211,212,226,266)'!N9+'Лист6(211,212,226,266)'!N22+'Лист6(211,212,226,266)'!N46+'Лист7(214,266)'!K21+'Лист7(214,266)'!N44+#REF!+#REF!+#REF!+#REF!+#REF!+#REF!+'Лист11(225)'!O47+'Лист11(225)'!O79+'Лист12(224,225,226,310,342-349'!L14+O46+M90+'Лист12(224,225,226,310,342-349'!M116+'Лист12(224,225,226,310,342-349'!M283</f>
        <v>#REF!</v>
      </c>
      <c r="J290" s="211"/>
      <c r="K290" s="211"/>
      <c r="L290" s="211"/>
      <c r="M290" s="211"/>
    </row>
    <row r="291" spans="2:29" ht="15" hidden="1" customHeight="1">
      <c r="B291" s="989" t="s">
        <v>475</v>
      </c>
      <c r="C291" s="990"/>
      <c r="D291" s="990"/>
      <c r="E291" s="990"/>
      <c r="F291" s="991"/>
      <c r="G291" s="216" t="e">
        <f>SUM(G288:G290)</f>
        <v>#REF!</v>
      </c>
      <c r="H291" s="216" t="e">
        <f>SUM(H288:H290)</f>
        <v>#REF!</v>
      </c>
      <c r="I291" s="216" t="e">
        <f>SUM(I288:I290)</f>
        <v>#REF!</v>
      </c>
      <c r="J291" s="211"/>
      <c r="K291" s="211"/>
      <c r="L291" s="211"/>
      <c r="M291" s="211"/>
    </row>
    <row r="292" spans="2:29" ht="15" hidden="1" customHeight="1">
      <c r="G292" s="192"/>
      <c r="H292" s="192"/>
      <c r="I292" s="192"/>
    </row>
    <row r="293" spans="2:29" ht="18.75" hidden="1" customHeight="1">
      <c r="E293" s="209" t="s">
        <v>179</v>
      </c>
      <c r="G293" s="193"/>
      <c r="H293" s="217"/>
      <c r="K293" s="209" t="s">
        <v>739</v>
      </c>
    </row>
    <row r="294" spans="2:29" ht="15" hidden="1" customHeight="1"/>
    <row r="295" spans="2:29">
      <c r="G295" s="54">
        <v>11490000</v>
      </c>
      <c r="H295" s="54">
        <v>11490000</v>
      </c>
      <c r="I295" s="54">
        <v>11490000</v>
      </c>
    </row>
    <row r="296" spans="2:29">
      <c r="G296" s="54" t="e">
        <f>G295-G290</f>
        <v>#REF!</v>
      </c>
      <c r="H296" s="54" t="e">
        <f t="shared" ref="H296:I296" si="21">H295-H290</f>
        <v>#REF!</v>
      </c>
      <c r="I296" s="54" t="e">
        <f t="shared" si="21"/>
        <v>#REF!</v>
      </c>
    </row>
    <row r="297" spans="2:29">
      <c r="G297" s="222">
        <f>G295+192442.91</f>
        <v>11682442.91</v>
      </c>
    </row>
    <row r="298" spans="2:29">
      <c r="G298" s="54" t="e">
        <f>G290-G297</f>
        <v>#REF!</v>
      </c>
    </row>
    <row r="300" spans="2:29">
      <c r="F300" s="44" t="s">
        <v>727</v>
      </c>
      <c r="G300" s="54">
        <v>61100227.68</v>
      </c>
    </row>
    <row r="301" spans="2:29">
      <c r="F301" s="44" t="s">
        <v>725</v>
      </c>
      <c r="G301" s="54">
        <v>12571648.619999999</v>
      </c>
    </row>
    <row r="302" spans="2:29">
      <c r="F302" s="44" t="s">
        <v>726</v>
      </c>
      <c r="G302" s="54">
        <v>-43.69</v>
      </c>
    </row>
    <row r="303" spans="2:29">
      <c r="G303" s="54">
        <f>G300+G301+G302</f>
        <v>73671832.609999999</v>
      </c>
      <c r="R303" s="974" t="s">
        <v>769</v>
      </c>
      <c r="S303" s="974"/>
      <c r="T303" s="974"/>
      <c r="U303" s="974"/>
      <c r="V303" s="974"/>
      <c r="W303" s="974"/>
      <c r="X303" s="974"/>
      <c r="Y303" s="974"/>
      <c r="Z303" s="974"/>
      <c r="AA303" s="974"/>
      <c r="AB303" s="974"/>
      <c r="AC303" s="974"/>
    </row>
    <row r="304" spans="2:29">
      <c r="G304" s="54" t="e">
        <f>G303-G289</f>
        <v>#REF!</v>
      </c>
      <c r="R304" s="974"/>
      <c r="S304" s="974"/>
      <c r="T304" s="974"/>
      <c r="U304" s="974"/>
      <c r="V304" s="974"/>
      <c r="W304" s="974"/>
      <c r="X304" s="974"/>
      <c r="Y304" s="974"/>
      <c r="Z304" s="974"/>
      <c r="AA304" s="974"/>
      <c r="AB304" s="974"/>
      <c r="AC304" s="974"/>
    </row>
    <row r="305" spans="1:29">
      <c r="D305" s="54">
        <f>F307+F315+F312+F314+F311</f>
        <v>1499293.9</v>
      </c>
      <c r="R305" s="974"/>
      <c r="S305" s="974"/>
      <c r="T305" s="974"/>
      <c r="U305" s="974"/>
      <c r="V305" s="974"/>
      <c r="W305" s="974"/>
      <c r="X305" s="974"/>
      <c r="Y305" s="974"/>
      <c r="Z305" s="974"/>
      <c r="AA305" s="974"/>
      <c r="AB305" s="974"/>
      <c r="AC305" s="974"/>
    </row>
    <row r="306" spans="1:29" ht="23.25">
      <c r="F306" s="8" t="s">
        <v>755</v>
      </c>
      <c r="G306" s="44" t="s">
        <v>753</v>
      </c>
      <c r="H306" s="198" t="s">
        <v>754</v>
      </c>
      <c r="I306" s="44">
        <v>2023</v>
      </c>
      <c r="J306" s="44">
        <v>2024</v>
      </c>
      <c r="U306" s="975">
        <v>2022</v>
      </c>
      <c r="V306" s="976"/>
      <c r="W306" s="977"/>
      <c r="X306" s="975">
        <v>2023</v>
      </c>
      <c r="Y306" s="976"/>
      <c r="Z306" s="977"/>
      <c r="AA306" s="975">
        <v>2024</v>
      </c>
      <c r="AB306" s="976"/>
      <c r="AC306" s="977"/>
    </row>
    <row r="307" spans="1:29">
      <c r="A307" s="180" t="s">
        <v>763</v>
      </c>
      <c r="B307" s="44" t="s">
        <v>64</v>
      </c>
      <c r="C307" s="44" t="s">
        <v>728</v>
      </c>
      <c r="D307" s="44" t="s">
        <v>729</v>
      </c>
      <c r="E307" s="44" t="s">
        <v>67</v>
      </c>
      <c r="F307" s="346">
        <f>16000+6000+10000+20000+5000</f>
        <v>57000</v>
      </c>
      <c r="G307" s="44" t="e">
        <f>#REF!+#REF!+#REF!+#REF!+#REF!+#REF!+#REF!</f>
        <v>#REF!</v>
      </c>
      <c r="H307" s="405" t="e">
        <f>F307-G307</f>
        <v>#REF!</v>
      </c>
      <c r="I307" s="54"/>
      <c r="J307" s="54"/>
      <c r="P307" s="436" t="s">
        <v>763</v>
      </c>
      <c r="Q307" s="436" t="s">
        <v>64</v>
      </c>
      <c r="R307" s="436" t="s">
        <v>728</v>
      </c>
      <c r="S307" s="436" t="s">
        <v>729</v>
      </c>
      <c r="T307" s="436" t="s">
        <v>67</v>
      </c>
      <c r="U307" s="448">
        <f>V307+W307</f>
        <v>58000</v>
      </c>
      <c r="V307" s="449">
        <v>57000</v>
      </c>
      <c r="W307" s="450">
        <f>F345</f>
        <v>1000</v>
      </c>
      <c r="X307" s="448">
        <f>Y307+Z307</f>
        <v>62000</v>
      </c>
      <c r="Y307" s="449">
        <f>13000+4000+20000+20000+5000</f>
        <v>62000</v>
      </c>
      <c r="Z307" s="450"/>
      <c r="AA307" s="448">
        <f>AB307+AC307</f>
        <v>37000</v>
      </c>
      <c r="AB307" s="449">
        <f>8000+4000+20000+5000</f>
        <v>37000</v>
      </c>
      <c r="AC307" s="450"/>
    </row>
    <row r="308" spans="1:29">
      <c r="A308" s="180" t="s">
        <v>764</v>
      </c>
      <c r="B308" s="44" t="s">
        <v>64</v>
      </c>
      <c r="C308" s="44" t="s">
        <v>730</v>
      </c>
      <c r="D308" s="44" t="s">
        <v>729</v>
      </c>
      <c r="E308" s="44" t="s">
        <v>67</v>
      </c>
      <c r="F308" s="441">
        <f>V354</f>
        <v>33377286.77</v>
      </c>
      <c r="G308" s="440" t="e">
        <f>#REF!</f>
        <v>#REF!</v>
      </c>
      <c r="H308" s="442" t="e">
        <f>F308-G308</f>
        <v>#REF!</v>
      </c>
      <c r="I308" s="54"/>
      <c r="J308" s="54"/>
      <c r="P308" s="436" t="s">
        <v>764</v>
      </c>
      <c r="Q308" s="436" t="s">
        <v>64</v>
      </c>
      <c r="R308" s="436" t="s">
        <v>730</v>
      </c>
      <c r="S308" s="436" t="s">
        <v>729</v>
      </c>
      <c r="T308" s="436" t="s">
        <v>67</v>
      </c>
      <c r="U308" s="448">
        <f t="shared" ref="U308:U339" si="22">V308+W308</f>
        <v>45291107.280000001</v>
      </c>
      <c r="V308" s="449">
        <v>40764980.369999997</v>
      </c>
      <c r="W308" s="450">
        <f>F346</f>
        <v>4526126.91</v>
      </c>
      <c r="X308" s="448">
        <f t="shared" ref="X308:X339" si="23">Y308+Z308</f>
        <v>45291107.280000001</v>
      </c>
      <c r="Y308" s="449">
        <v>40398633.810000002</v>
      </c>
      <c r="Z308" s="450">
        <v>4892473.47</v>
      </c>
      <c r="AA308" s="448">
        <f t="shared" ref="AA308:AA338" si="24">AB308+AC308</f>
        <v>45291107.280000001</v>
      </c>
      <c r="AB308" s="449">
        <v>40434215.560000002</v>
      </c>
      <c r="AC308" s="450">
        <v>4856891.72</v>
      </c>
    </row>
    <row r="309" spans="1:29">
      <c r="B309" s="44" t="s">
        <v>64</v>
      </c>
      <c r="C309" s="44" t="s">
        <v>731</v>
      </c>
      <c r="D309" s="44" t="s">
        <v>729</v>
      </c>
      <c r="E309" s="44" t="s">
        <v>67</v>
      </c>
      <c r="F309" s="441">
        <v>0</v>
      </c>
      <c r="G309" s="440">
        <v>0</v>
      </c>
      <c r="H309" s="443">
        <f t="shared" ref="H309:H336" si="25">F309-G309</f>
        <v>0</v>
      </c>
      <c r="I309" s="54"/>
      <c r="J309" s="54"/>
      <c r="P309" s="436"/>
      <c r="Q309" s="436" t="s">
        <v>64</v>
      </c>
      <c r="R309" s="436" t="s">
        <v>731</v>
      </c>
      <c r="S309" s="436" t="s">
        <v>729</v>
      </c>
      <c r="T309" s="436" t="s">
        <v>67</v>
      </c>
      <c r="U309" s="448">
        <f t="shared" si="22"/>
        <v>0</v>
      </c>
      <c r="V309" s="449">
        <v>0</v>
      </c>
      <c r="W309" s="450"/>
      <c r="X309" s="448">
        <f t="shared" si="23"/>
        <v>0</v>
      </c>
      <c r="Y309" s="449"/>
      <c r="Z309" s="450"/>
      <c r="AA309" s="448">
        <f t="shared" si="24"/>
        <v>0</v>
      </c>
      <c r="AB309" s="449"/>
      <c r="AC309" s="450"/>
    </row>
    <row r="310" spans="1:29">
      <c r="B310" s="44" t="s">
        <v>64</v>
      </c>
      <c r="C310" s="44" t="s">
        <v>732</v>
      </c>
      <c r="D310" s="44" t="s">
        <v>729</v>
      </c>
      <c r="E310" s="44" t="s">
        <v>67</v>
      </c>
      <c r="F310" s="441">
        <v>0</v>
      </c>
      <c r="G310" s="440">
        <v>0</v>
      </c>
      <c r="H310" s="444">
        <f t="shared" si="25"/>
        <v>0</v>
      </c>
      <c r="I310" s="54"/>
      <c r="J310" s="54"/>
      <c r="P310" s="436"/>
      <c r="Q310" s="436" t="s">
        <v>64</v>
      </c>
      <c r="R310" s="436" t="s">
        <v>732</v>
      </c>
      <c r="S310" s="436" t="s">
        <v>729</v>
      </c>
      <c r="T310" s="436" t="s">
        <v>67</v>
      </c>
      <c r="U310" s="448">
        <f t="shared" si="22"/>
        <v>0</v>
      </c>
      <c r="V310" s="449">
        <v>0</v>
      </c>
      <c r="W310" s="450"/>
      <c r="X310" s="448">
        <f t="shared" si="23"/>
        <v>0</v>
      </c>
      <c r="Y310" s="449"/>
      <c r="Z310" s="450"/>
      <c r="AA310" s="448">
        <f t="shared" si="24"/>
        <v>0</v>
      </c>
      <c r="AB310" s="449"/>
      <c r="AC310" s="450"/>
    </row>
    <row r="311" spans="1:29">
      <c r="A311" s="180" t="s">
        <v>767</v>
      </c>
      <c r="B311" s="44" t="s">
        <v>64</v>
      </c>
      <c r="C311" s="44" t="s">
        <v>728</v>
      </c>
      <c r="D311" s="44" t="s">
        <v>729</v>
      </c>
      <c r="E311" s="44" t="s">
        <v>69</v>
      </c>
      <c r="F311" s="346">
        <f>V357</f>
        <v>414998.65</v>
      </c>
      <c r="G311" s="54" t="e">
        <f>#REF!+#REF!+#REF!</f>
        <v>#REF!</v>
      </c>
      <c r="H311" s="406" t="e">
        <f t="shared" si="25"/>
        <v>#REF!</v>
      </c>
      <c r="I311" s="54"/>
      <c r="J311" s="54"/>
      <c r="P311" s="436" t="s">
        <v>767</v>
      </c>
      <c r="Q311" s="436" t="s">
        <v>64</v>
      </c>
      <c r="R311" s="436" t="s">
        <v>728</v>
      </c>
      <c r="S311" s="436" t="s">
        <v>729</v>
      </c>
      <c r="T311" s="436" t="s">
        <v>69</v>
      </c>
      <c r="U311" s="448">
        <f t="shared" si="22"/>
        <v>364367.34</v>
      </c>
      <c r="V311" s="449">
        <v>364367.34</v>
      </c>
      <c r="W311" s="450"/>
      <c r="X311" s="448">
        <f t="shared" si="23"/>
        <v>166085.82999999999</v>
      </c>
      <c r="Y311" s="449">
        <f>55386.41+110699.42</f>
        <v>166085.82999999999</v>
      </c>
      <c r="Z311" s="450">
        <v>0</v>
      </c>
      <c r="AA311" s="448">
        <f t="shared" si="24"/>
        <v>0</v>
      </c>
      <c r="AB311" s="449">
        <v>0</v>
      </c>
      <c r="AC311" s="450">
        <v>0</v>
      </c>
    </row>
    <row r="312" spans="1:29" s="381" customFormat="1">
      <c r="B312" s="381" t="s">
        <v>72</v>
      </c>
      <c r="C312" s="381" t="s">
        <v>728</v>
      </c>
      <c r="D312" s="381" t="s">
        <v>729</v>
      </c>
      <c r="E312" s="381" t="s">
        <v>76</v>
      </c>
      <c r="F312" s="346">
        <f>V358</f>
        <v>1000000</v>
      </c>
      <c r="G312" s="346">
        <f>'Лист7(214,266)'!E10</f>
        <v>1000000</v>
      </c>
      <c r="H312" s="408">
        <f t="shared" si="25"/>
        <v>0</v>
      </c>
      <c r="I312" s="346">
        <f>'Лист7(214,266)'!H9</f>
        <v>960000</v>
      </c>
      <c r="J312" s="346">
        <f>'Лист7(214,266)'!K9</f>
        <v>999200</v>
      </c>
      <c r="P312" s="436"/>
      <c r="Q312" s="436" t="s">
        <v>72</v>
      </c>
      <c r="R312" s="436" t="s">
        <v>728</v>
      </c>
      <c r="S312" s="436" t="s">
        <v>729</v>
      </c>
      <c r="T312" s="436" t="s">
        <v>76</v>
      </c>
      <c r="U312" s="448">
        <f t="shared" si="22"/>
        <v>1100000</v>
      </c>
      <c r="V312" s="449">
        <v>1000000</v>
      </c>
      <c r="W312" s="450">
        <f>F350</f>
        <v>100000</v>
      </c>
      <c r="X312" s="448">
        <f t="shared" si="23"/>
        <v>1020000</v>
      </c>
      <c r="Y312" s="449">
        <v>960000</v>
      </c>
      <c r="Z312" s="450">
        <v>60000</v>
      </c>
      <c r="AA312" s="448">
        <f t="shared" si="24"/>
        <v>1100000</v>
      </c>
      <c r="AB312" s="449">
        <f>400000+599200</f>
        <v>999200</v>
      </c>
      <c r="AC312" s="450">
        <v>100800</v>
      </c>
    </row>
    <row r="313" spans="1:29">
      <c r="B313" s="44" t="s">
        <v>72</v>
      </c>
      <c r="C313" s="44" t="s">
        <v>728</v>
      </c>
      <c r="D313" s="44" t="s">
        <v>729</v>
      </c>
      <c r="E313" s="44" t="s">
        <v>77</v>
      </c>
      <c r="F313" s="346">
        <v>0</v>
      </c>
      <c r="G313" s="54">
        <f>'Лист6(211,212,226,266)'!E55</f>
        <v>6734</v>
      </c>
      <c r="H313" s="405">
        <f t="shared" si="25"/>
        <v>-6734</v>
      </c>
      <c r="I313" s="54"/>
      <c r="J313" s="54"/>
      <c r="P313" s="436"/>
      <c r="Q313" s="436" t="s">
        <v>72</v>
      </c>
      <c r="R313" s="436" t="s">
        <v>728</v>
      </c>
      <c r="S313" s="436" t="s">
        <v>729</v>
      </c>
      <c r="T313" s="436" t="s">
        <v>77</v>
      </c>
      <c r="U313" s="448">
        <f t="shared" si="22"/>
        <v>0</v>
      </c>
      <c r="V313" s="449">
        <v>0</v>
      </c>
      <c r="W313" s="450"/>
      <c r="X313" s="448">
        <f t="shared" si="23"/>
        <v>0</v>
      </c>
      <c r="Y313" s="449"/>
      <c r="Z313" s="450"/>
      <c r="AA313" s="448">
        <f t="shared" si="24"/>
        <v>0</v>
      </c>
      <c r="AB313" s="449"/>
      <c r="AC313" s="450"/>
    </row>
    <row r="314" spans="1:29">
      <c r="A314" s="180" t="s">
        <v>768</v>
      </c>
      <c r="B314" s="44" t="s">
        <v>72</v>
      </c>
      <c r="C314" s="44" t="s">
        <v>728</v>
      </c>
      <c r="D314" s="44" t="s">
        <v>729</v>
      </c>
      <c r="E314" s="44" t="s">
        <v>69</v>
      </c>
      <c r="F314" s="346">
        <f>1020+595</f>
        <v>1615</v>
      </c>
      <c r="G314" s="54">
        <f>'Лист7(214,266)'!F32</f>
        <v>3060</v>
      </c>
      <c r="H314" s="405">
        <f t="shared" si="25"/>
        <v>-1445</v>
      </c>
      <c r="I314" s="54"/>
      <c r="J314" s="54"/>
      <c r="P314" s="436" t="s">
        <v>768</v>
      </c>
      <c r="Q314" s="436" t="s">
        <v>72</v>
      </c>
      <c r="R314" s="436" t="s">
        <v>728</v>
      </c>
      <c r="S314" s="436" t="s">
        <v>729</v>
      </c>
      <c r="T314" s="436" t="s">
        <v>69</v>
      </c>
      <c r="U314" s="448">
        <f t="shared" si="22"/>
        <v>2040</v>
      </c>
      <c r="V314" s="449">
        <v>1615</v>
      </c>
      <c r="W314" s="450">
        <f>F352</f>
        <v>425</v>
      </c>
      <c r="X314" s="448">
        <f t="shared" si="23"/>
        <v>510</v>
      </c>
      <c r="Y314" s="449">
        <v>510</v>
      </c>
      <c r="Z314" s="450">
        <v>0</v>
      </c>
      <c r="AA314" s="448">
        <f t="shared" si="24"/>
        <v>0</v>
      </c>
      <c r="AB314" s="449">
        <v>0</v>
      </c>
      <c r="AC314" s="450">
        <v>0</v>
      </c>
    </row>
    <row r="315" spans="1:29">
      <c r="B315" s="44" t="s">
        <v>80</v>
      </c>
      <c r="C315" s="44" t="s">
        <v>728</v>
      </c>
      <c r="D315" s="44" t="s">
        <v>729</v>
      </c>
      <c r="E315" s="44" t="s">
        <v>83</v>
      </c>
      <c r="F315" s="346">
        <f>3020+6040+1510+15110.25+94928.69-94928.69</f>
        <v>25680.25</v>
      </c>
      <c r="G315" s="54" t="e">
        <f>#REF!+#REF!+#REF!</f>
        <v>#REF!</v>
      </c>
      <c r="H315" s="405" t="e">
        <f t="shared" si="25"/>
        <v>#REF!</v>
      </c>
      <c r="I315" s="54"/>
      <c r="J315" s="54"/>
      <c r="P315" s="436"/>
      <c r="Q315" s="436" t="s">
        <v>80</v>
      </c>
      <c r="R315" s="436" t="s">
        <v>728</v>
      </c>
      <c r="S315" s="436" t="s">
        <v>729</v>
      </c>
      <c r="T315" s="436" t="s">
        <v>83</v>
      </c>
      <c r="U315" s="448">
        <f t="shared" si="22"/>
        <v>25680.25</v>
      </c>
      <c r="V315" s="449">
        <v>25680.25</v>
      </c>
      <c r="W315" s="450"/>
      <c r="X315" s="448">
        <f t="shared" si="23"/>
        <v>13590</v>
      </c>
      <c r="Y315" s="449">
        <f>6040+6040+1510</f>
        <v>13590</v>
      </c>
      <c r="Z315" s="450"/>
      <c r="AA315" s="448">
        <f t="shared" si="24"/>
        <v>7550</v>
      </c>
      <c r="AB315" s="449">
        <f>1510+6040</f>
        <v>7550</v>
      </c>
      <c r="AC315" s="450"/>
    </row>
    <row r="316" spans="1:29">
      <c r="B316" s="44" t="s">
        <v>80</v>
      </c>
      <c r="C316" s="44" t="s">
        <v>730</v>
      </c>
      <c r="D316" s="44" t="s">
        <v>729</v>
      </c>
      <c r="E316" s="44" t="s">
        <v>83</v>
      </c>
      <c r="F316" s="346">
        <f>V362</f>
        <v>9836475.4100000001</v>
      </c>
      <c r="G316" s="978" t="e">
        <f>#REF!</f>
        <v>#REF!</v>
      </c>
      <c r="H316" s="979" t="e">
        <f t="shared" si="25"/>
        <v>#REF!</v>
      </c>
      <c r="I316" s="54"/>
      <c r="J316" s="54"/>
      <c r="P316" s="436"/>
      <c r="Q316" s="436" t="s">
        <v>80</v>
      </c>
      <c r="R316" s="436" t="s">
        <v>730</v>
      </c>
      <c r="S316" s="436" t="s">
        <v>729</v>
      </c>
      <c r="T316" s="436" t="s">
        <v>83</v>
      </c>
      <c r="U316" s="448">
        <f t="shared" si="22"/>
        <v>13500006.66</v>
      </c>
      <c r="V316" s="449">
        <v>12022937.09</v>
      </c>
      <c r="W316" s="450">
        <f>F353</f>
        <v>1477069.57</v>
      </c>
      <c r="X316" s="448">
        <f t="shared" si="23"/>
        <v>13500006.66</v>
      </c>
      <c r="Y316" s="449">
        <v>12028573.960000001</v>
      </c>
      <c r="Z316" s="450">
        <v>1471432.7</v>
      </c>
      <c r="AA316" s="448">
        <f t="shared" si="24"/>
        <v>13500006.66</v>
      </c>
      <c r="AB316" s="449">
        <v>12039319.630000001</v>
      </c>
      <c r="AC316" s="450">
        <v>1460687.03</v>
      </c>
    </row>
    <row r="317" spans="1:29">
      <c r="B317" s="44" t="s">
        <v>80</v>
      </c>
      <c r="C317" s="44" t="s">
        <v>731</v>
      </c>
      <c r="D317" s="44" t="s">
        <v>729</v>
      </c>
      <c r="E317" s="44" t="s">
        <v>83</v>
      </c>
      <c r="F317" s="346">
        <v>0</v>
      </c>
      <c r="G317" s="978"/>
      <c r="H317" s="979">
        <f t="shared" si="25"/>
        <v>0</v>
      </c>
      <c r="I317" s="54"/>
      <c r="J317" s="54"/>
      <c r="P317" s="436"/>
      <c r="Q317" s="436" t="s">
        <v>80</v>
      </c>
      <c r="R317" s="436" t="s">
        <v>731</v>
      </c>
      <c r="S317" s="436" t="s">
        <v>729</v>
      </c>
      <c r="T317" s="436" t="s">
        <v>83</v>
      </c>
      <c r="U317" s="448">
        <f t="shared" si="22"/>
        <v>0</v>
      </c>
      <c r="V317" s="449">
        <v>0</v>
      </c>
      <c r="W317" s="450"/>
      <c r="X317" s="448">
        <f t="shared" si="23"/>
        <v>0</v>
      </c>
      <c r="Y317" s="449"/>
      <c r="Z317" s="450"/>
      <c r="AA317" s="448">
        <f t="shared" si="24"/>
        <v>0</v>
      </c>
      <c r="AB317" s="449"/>
      <c r="AC317" s="450"/>
    </row>
    <row r="318" spans="1:29">
      <c r="B318" s="44" t="s">
        <v>80</v>
      </c>
      <c r="C318" s="44" t="s">
        <v>732</v>
      </c>
      <c r="D318" s="44" t="s">
        <v>729</v>
      </c>
      <c r="E318" s="44" t="s">
        <v>83</v>
      </c>
      <c r="F318" s="346">
        <v>0</v>
      </c>
      <c r="G318" s="978"/>
      <c r="H318" s="979">
        <f t="shared" si="25"/>
        <v>0</v>
      </c>
      <c r="I318" s="54"/>
      <c r="J318" s="54"/>
      <c r="P318" s="436"/>
      <c r="Q318" s="436" t="s">
        <v>80</v>
      </c>
      <c r="R318" s="436" t="s">
        <v>732</v>
      </c>
      <c r="S318" s="436" t="s">
        <v>729</v>
      </c>
      <c r="T318" s="436" t="s">
        <v>83</v>
      </c>
      <c r="U318" s="448">
        <f t="shared" si="22"/>
        <v>0</v>
      </c>
      <c r="V318" s="449">
        <v>0</v>
      </c>
      <c r="W318" s="450"/>
      <c r="X318" s="448">
        <f t="shared" si="23"/>
        <v>0</v>
      </c>
      <c r="Y318" s="449"/>
      <c r="Z318" s="450"/>
      <c r="AA318" s="448">
        <f t="shared" si="24"/>
        <v>0</v>
      </c>
      <c r="AB318" s="449"/>
      <c r="AC318" s="450"/>
    </row>
    <row r="319" spans="1:29">
      <c r="B319" s="44" t="s">
        <v>80</v>
      </c>
      <c r="C319" s="44" t="s">
        <v>728</v>
      </c>
      <c r="D319" s="44" t="s">
        <v>729</v>
      </c>
      <c r="E319" s="44" t="s">
        <v>69</v>
      </c>
      <c r="F319" s="346">
        <v>94928.69</v>
      </c>
      <c r="G319" s="54" t="e">
        <f>#REF!+#REF!</f>
        <v>#REF!</v>
      </c>
      <c r="H319" s="407" t="e">
        <f t="shared" si="25"/>
        <v>#REF!</v>
      </c>
      <c r="I319" s="54"/>
      <c r="J319" s="54"/>
      <c r="P319" s="436"/>
      <c r="Q319" s="436" t="s">
        <v>80</v>
      </c>
      <c r="R319" s="436" t="s">
        <v>728</v>
      </c>
      <c r="S319" s="436" t="s">
        <v>729</v>
      </c>
      <c r="T319" s="436" t="s">
        <v>69</v>
      </c>
      <c r="U319" s="448">
        <f t="shared" si="22"/>
        <v>94928.69</v>
      </c>
      <c r="V319" s="449">
        <v>94928.69</v>
      </c>
      <c r="W319" s="450"/>
      <c r="X319" s="448">
        <f t="shared" si="23"/>
        <v>40157.919999999998</v>
      </c>
      <c r="Y319" s="449">
        <f>6726.7+33431.22</f>
        <v>40157.919999999998</v>
      </c>
      <c r="Z319" s="450"/>
      <c r="AA319" s="448">
        <f t="shared" si="24"/>
        <v>0</v>
      </c>
      <c r="AB319" s="449"/>
      <c r="AC319" s="450"/>
    </row>
    <row r="320" spans="1:29" s="373" customFormat="1">
      <c r="B320" s="381" t="s">
        <v>99</v>
      </c>
      <c r="C320" s="381" t="s">
        <v>728</v>
      </c>
      <c r="D320" s="381" t="s">
        <v>729</v>
      </c>
      <c r="E320" s="381" t="s">
        <v>103</v>
      </c>
      <c r="F320" s="346">
        <v>212942.38</v>
      </c>
      <c r="G320" s="346" t="e">
        <f>#REF!</f>
        <v>#REF!</v>
      </c>
      <c r="H320" s="408" t="e">
        <f t="shared" si="25"/>
        <v>#REF!</v>
      </c>
      <c r="I320" s="346" t="e">
        <f>#REF!</f>
        <v>#REF!</v>
      </c>
      <c r="J320" s="346" t="e">
        <f>#REF!</f>
        <v>#REF!</v>
      </c>
      <c r="P320" s="436"/>
      <c r="Q320" s="436" t="s">
        <v>99</v>
      </c>
      <c r="R320" s="436" t="s">
        <v>728</v>
      </c>
      <c r="S320" s="436" t="s">
        <v>729</v>
      </c>
      <c r="T320" s="436" t="s">
        <v>103</v>
      </c>
      <c r="U320" s="448">
        <f t="shared" si="22"/>
        <v>212942.38</v>
      </c>
      <c r="V320" s="449">
        <v>212942.38</v>
      </c>
      <c r="W320" s="450">
        <v>0</v>
      </c>
      <c r="X320" s="448">
        <f t="shared" si="23"/>
        <v>218702.4</v>
      </c>
      <c r="Y320" s="449">
        <v>218702.4</v>
      </c>
      <c r="Z320" s="450">
        <v>0</v>
      </c>
      <c r="AA320" s="448">
        <f t="shared" si="24"/>
        <v>225038.4</v>
      </c>
      <c r="AB320" s="449">
        <v>225038.4</v>
      </c>
      <c r="AC320" s="450">
        <v>0</v>
      </c>
    </row>
    <row r="321" spans="1:29">
      <c r="B321" s="381" t="s">
        <v>99</v>
      </c>
      <c r="C321" s="381" t="s">
        <v>728</v>
      </c>
      <c r="D321" s="381" t="s">
        <v>729</v>
      </c>
      <c r="E321" s="381" t="s">
        <v>105</v>
      </c>
      <c r="F321" s="346">
        <f>111407.4+129902.15</f>
        <v>241309.55</v>
      </c>
      <c r="G321" s="346" t="e">
        <f>#REF!</f>
        <v>#REF!</v>
      </c>
      <c r="H321" s="408" t="e">
        <f t="shared" si="25"/>
        <v>#REF!</v>
      </c>
      <c r="I321" s="346" t="e">
        <f>#REF!</f>
        <v>#REF!</v>
      </c>
      <c r="J321" s="346" t="e">
        <f>#REF!</f>
        <v>#REF!</v>
      </c>
      <c r="P321" s="436"/>
      <c r="Q321" s="436" t="s">
        <v>99</v>
      </c>
      <c r="R321" s="436" t="s">
        <v>728</v>
      </c>
      <c r="S321" s="436" t="s">
        <v>729</v>
      </c>
      <c r="T321" s="436" t="s">
        <v>105</v>
      </c>
      <c r="U321" s="448">
        <f t="shared" si="22"/>
        <v>407945.02</v>
      </c>
      <c r="V321" s="449">
        <v>241309.55</v>
      </c>
      <c r="W321" s="450">
        <f>F359</f>
        <v>166635.47</v>
      </c>
      <c r="X321" s="448">
        <f t="shared" si="23"/>
        <v>407945.02</v>
      </c>
      <c r="Y321" s="449">
        <f>72167.86+111407.4</f>
        <v>183575.26</v>
      </c>
      <c r="Z321" s="450">
        <f>136164.6+88205.16</f>
        <v>224369.76</v>
      </c>
      <c r="AA321" s="448">
        <f t="shared" si="24"/>
        <v>407945.02</v>
      </c>
      <c r="AB321" s="449">
        <f>111407.4+72167.86</f>
        <v>183575.26</v>
      </c>
      <c r="AC321" s="450">
        <f>136164.6+88205.16</f>
        <v>224369.76</v>
      </c>
    </row>
    <row r="322" spans="1:29" s="381" customFormat="1">
      <c r="B322" s="381" t="s">
        <v>99</v>
      </c>
      <c r="C322" s="381" t="s">
        <v>728</v>
      </c>
      <c r="D322" s="381" t="s">
        <v>729</v>
      </c>
      <c r="E322" s="381" t="s">
        <v>107</v>
      </c>
      <c r="F322" s="346">
        <f>V368</f>
        <v>801570</v>
      </c>
      <c r="G322" s="346" t="e">
        <f>#REF!</f>
        <v>#REF!</v>
      </c>
      <c r="H322" s="408" t="e">
        <f t="shared" si="25"/>
        <v>#REF!</v>
      </c>
      <c r="I322" s="346" t="e">
        <f>#REF!</f>
        <v>#REF!</v>
      </c>
      <c r="J322" s="346" t="e">
        <f>#REF!</f>
        <v>#REF!</v>
      </c>
      <c r="P322" s="436"/>
      <c r="Q322" s="436" t="s">
        <v>99</v>
      </c>
      <c r="R322" s="436" t="s">
        <v>728</v>
      </c>
      <c r="S322" s="436" t="s">
        <v>729</v>
      </c>
      <c r="T322" s="436" t="s">
        <v>107</v>
      </c>
      <c r="U322" s="448">
        <f t="shared" si="22"/>
        <v>624705.26</v>
      </c>
      <c r="V322" s="449">
        <v>506011.26</v>
      </c>
      <c r="W322" s="450">
        <f>F360</f>
        <v>118694</v>
      </c>
      <c r="X322" s="448">
        <f t="shared" si="23"/>
        <v>638460.73</v>
      </c>
      <c r="Y322" s="449">
        <f>486626.07+30527.12</f>
        <v>517153.19</v>
      </c>
      <c r="Z322" s="450">
        <f>114146.86+7160.68</f>
        <v>121307.54</v>
      </c>
      <c r="AA322" s="448">
        <f t="shared" si="24"/>
        <v>655124.81999999995</v>
      </c>
      <c r="AB322" s="449">
        <f>500123.99+30527.12</f>
        <v>530651.11</v>
      </c>
      <c r="AC322" s="450">
        <f>117313.03+7160.68</f>
        <v>124473.71</v>
      </c>
    </row>
    <row r="323" spans="1:29" s="381" customFormat="1">
      <c r="B323" s="381" t="s">
        <v>99</v>
      </c>
      <c r="C323" s="381" t="s">
        <v>728</v>
      </c>
      <c r="D323" s="381" t="s">
        <v>729</v>
      </c>
      <c r="E323" s="381" t="s">
        <v>225</v>
      </c>
      <c r="F323" s="346">
        <v>12428476.800000001</v>
      </c>
      <c r="G323" s="346">
        <f>G67+G68</f>
        <v>12428476.800000001</v>
      </c>
      <c r="H323" s="408">
        <f t="shared" si="25"/>
        <v>0</v>
      </c>
      <c r="I323" s="346">
        <f>J67+J68</f>
        <v>12428476.800000001</v>
      </c>
      <c r="J323" s="346">
        <f>M67+M68</f>
        <v>4721038.38</v>
      </c>
      <c r="P323" s="436"/>
      <c r="Q323" s="436" t="s">
        <v>99</v>
      </c>
      <c r="R323" s="436" t="s">
        <v>728</v>
      </c>
      <c r="S323" s="436" t="s">
        <v>729</v>
      </c>
      <c r="T323" s="436" t="s">
        <v>225</v>
      </c>
      <c r="U323" s="448">
        <f t="shared" si="22"/>
        <v>12428476.800000001</v>
      </c>
      <c r="V323" s="449">
        <v>12428476.800000001</v>
      </c>
      <c r="W323" s="450"/>
      <c r="X323" s="448">
        <f t="shared" si="23"/>
        <v>12428476.800000001</v>
      </c>
      <c r="Y323" s="449">
        <v>12428476.800000001</v>
      </c>
      <c r="Z323" s="450">
        <v>0</v>
      </c>
      <c r="AA323" s="448">
        <f t="shared" si="24"/>
        <v>4721038.38</v>
      </c>
      <c r="AB323" s="449">
        <v>4721038.38</v>
      </c>
      <c r="AC323" s="450">
        <v>0</v>
      </c>
    </row>
    <row r="324" spans="1:29" s="381" customFormat="1">
      <c r="B324" s="381" t="s">
        <v>99</v>
      </c>
      <c r="C324" s="381" t="s">
        <v>728</v>
      </c>
      <c r="D324" s="381" t="s">
        <v>729</v>
      </c>
      <c r="E324" s="381" t="s">
        <v>109</v>
      </c>
      <c r="F324" s="346">
        <f>414252.74+72227.96</f>
        <v>486480.7</v>
      </c>
      <c r="G324" s="346">
        <f>'Лист11(225)'!G35+'Лист11(225)'!G64</f>
        <v>319310.73</v>
      </c>
      <c r="H324" s="408">
        <f t="shared" si="25"/>
        <v>167169.97</v>
      </c>
      <c r="I324" s="346">
        <f>'Лист11(225)'!K35+'Лист11(225)'!K64</f>
        <v>332060.73</v>
      </c>
      <c r="J324" s="346">
        <f>'Лист11(225)'!O35+'Лист11(225)'!O64</f>
        <v>335018.75</v>
      </c>
      <c r="K324" s="437" t="s">
        <v>765</v>
      </c>
      <c r="P324" s="436"/>
      <c r="Q324" s="436" t="s">
        <v>99</v>
      </c>
      <c r="R324" s="436" t="s">
        <v>728</v>
      </c>
      <c r="S324" s="436" t="s">
        <v>729</v>
      </c>
      <c r="T324" s="436" t="s">
        <v>109</v>
      </c>
      <c r="U324" s="448">
        <f t="shared" si="22"/>
        <v>600593.46</v>
      </c>
      <c r="V324" s="449">
        <v>486480.7</v>
      </c>
      <c r="W324" s="450">
        <f>F362</f>
        <v>114112.76</v>
      </c>
      <c r="X324" s="448">
        <f t="shared" si="23"/>
        <v>613343.46</v>
      </c>
      <c r="Y324" s="449">
        <f>414252.74+10327.5+72227.96</f>
        <v>496808.2</v>
      </c>
      <c r="Z324" s="450">
        <f>97170.4+2422.5+16942.36</f>
        <v>116535.26</v>
      </c>
      <c r="AA324" s="448">
        <f t="shared" si="24"/>
        <v>616301.48</v>
      </c>
      <c r="AB324" s="449">
        <f>605.9+12117.6+72227.96+414252.74</f>
        <v>499204.2</v>
      </c>
      <c r="AC324" s="450">
        <f>142.12+2842.4+16942.36+97170.4</f>
        <v>117097.28</v>
      </c>
    </row>
    <row r="325" spans="1:29">
      <c r="B325" s="44" t="s">
        <v>99</v>
      </c>
      <c r="C325" s="44" t="s">
        <v>728</v>
      </c>
      <c r="D325" s="44" t="s">
        <v>729</v>
      </c>
      <c r="E325" s="44" t="s">
        <v>77</v>
      </c>
      <c r="F325" s="346">
        <f>1096547.27+91560.46+12608.95+111780+153750.96+87918.08+43046.64+30115.48</f>
        <v>1627327.84</v>
      </c>
      <c r="G325" s="54" t="e">
        <f>'Лист12(224,225,226,310,342-349'!G36+'Лист12(224,225,226,310,342-349'!G57+'Лист12(224,225,226,310,342-349'!G58+'Лист12(224,225,226,310,342-349'!G60+'Лист12(224,225,226,310,342-349'!G61+'Лист12(224,225,226,310,342-349'!G62+'Лист12(224,225,226,310,342-349'!G63+'Лист12(224,225,226,310,342-349'!G64+'Лист12(224,225,226,310,342-349'!G66+'Лист12(224,225,226,310,342-349'!G69+#REF!+#REF!</f>
        <v>#REF!</v>
      </c>
      <c r="H325" s="406" t="e">
        <f t="shared" si="25"/>
        <v>#REF!</v>
      </c>
      <c r="I325" s="346"/>
      <c r="J325" s="54"/>
      <c r="P325" s="436"/>
      <c r="Q325" s="436" t="s">
        <v>99</v>
      </c>
      <c r="R325" s="436" t="s">
        <v>728</v>
      </c>
      <c r="S325" s="436" t="s">
        <v>729</v>
      </c>
      <c r="T325" s="436" t="s">
        <v>77</v>
      </c>
      <c r="U325" s="448">
        <f t="shared" si="22"/>
        <v>4759765.8600000003</v>
      </c>
      <c r="V325" s="449">
        <v>1627327.84</v>
      </c>
      <c r="W325" s="450">
        <f>F363</f>
        <v>3132438.02</v>
      </c>
      <c r="X325" s="448">
        <f t="shared" si="23"/>
        <v>4042779.12</v>
      </c>
      <c r="Y325" s="449">
        <f>508187.52+91560.46+13175.95+111780+153750.96+94951.57+43046.64+30115.48</f>
        <v>1046568.58</v>
      </c>
      <c r="Z325" s="450">
        <f>119204.48+21477.14+3090.65+26220+36065.04+22272.59+1383821.9+622720+10097.36+7064.12+307932+17655.26+418590</f>
        <v>2996210.54</v>
      </c>
      <c r="AA325" s="448">
        <f>AB325+AC325</f>
        <v>4052590.52</v>
      </c>
      <c r="AB325" s="449">
        <f>30115.48+43046.64+102547.75+153750.96+111780+13527+91560.46+508187.52</f>
        <v>1054515.81</v>
      </c>
      <c r="AC325" s="450">
        <v>2998074.71</v>
      </c>
    </row>
    <row r="326" spans="1:29">
      <c r="B326" s="44" t="s">
        <v>99</v>
      </c>
      <c r="C326" s="44" t="s">
        <v>733</v>
      </c>
      <c r="D326" s="44" t="s">
        <v>729</v>
      </c>
      <c r="E326" s="44" t="s">
        <v>77</v>
      </c>
      <c r="F326" s="346">
        <v>2175316.06</v>
      </c>
      <c r="G326" s="54">
        <f>G80</f>
        <v>2175316.06</v>
      </c>
      <c r="H326" s="407">
        <f t="shared" si="25"/>
        <v>0</v>
      </c>
      <c r="I326" s="54"/>
      <c r="J326" s="54"/>
      <c r="P326" s="436"/>
      <c r="Q326" s="436" t="s">
        <v>99</v>
      </c>
      <c r="R326" s="436" t="s">
        <v>733</v>
      </c>
      <c r="S326" s="436" t="s">
        <v>729</v>
      </c>
      <c r="T326" s="436" t="s">
        <v>77</v>
      </c>
      <c r="U326" s="448">
        <f t="shared" si="22"/>
        <v>2175316.06</v>
      </c>
      <c r="V326" s="449">
        <v>2175316.06</v>
      </c>
      <c r="W326" s="450"/>
      <c r="X326" s="448">
        <f t="shared" si="23"/>
        <v>2168787.38</v>
      </c>
      <c r="Y326" s="449">
        <v>2168787.38</v>
      </c>
      <c r="Z326" s="450"/>
      <c r="AA326" s="448">
        <f t="shared" si="24"/>
        <v>2294502.7799999998</v>
      </c>
      <c r="AB326" s="449">
        <v>2294502.7799999998</v>
      </c>
      <c r="AC326" s="450">
        <v>0</v>
      </c>
    </row>
    <row r="327" spans="1:29" s="437" customFormat="1">
      <c r="B327" s="437" t="s">
        <v>99</v>
      </c>
      <c r="C327" s="437" t="s">
        <v>734</v>
      </c>
      <c r="D327" s="437" t="s">
        <v>729</v>
      </c>
      <c r="E327" s="438">
        <v>226</v>
      </c>
      <c r="F327" s="346">
        <v>657987.48</v>
      </c>
      <c r="G327" s="435">
        <v>0</v>
      </c>
      <c r="H327" s="439">
        <f t="shared" si="25"/>
        <v>657987.48</v>
      </c>
      <c r="I327" s="435">
        <v>0</v>
      </c>
      <c r="J327" s="435">
        <v>0</v>
      </c>
      <c r="P327" s="436"/>
      <c r="Q327" s="504" t="s">
        <v>99</v>
      </c>
      <c r="R327" s="505" t="s">
        <v>734</v>
      </c>
      <c r="S327" s="505" t="s">
        <v>729</v>
      </c>
      <c r="T327" s="505">
        <v>226</v>
      </c>
      <c r="U327" s="500">
        <f t="shared" si="22"/>
        <v>34630.9</v>
      </c>
      <c r="V327" s="501">
        <v>34630.9</v>
      </c>
      <c r="W327" s="450"/>
      <c r="X327" s="448">
        <f t="shared" si="23"/>
        <v>0</v>
      </c>
      <c r="Y327" s="449"/>
      <c r="Z327" s="450"/>
      <c r="AA327" s="448">
        <f t="shared" si="24"/>
        <v>0</v>
      </c>
      <c r="AB327" s="449"/>
      <c r="AC327" s="450"/>
    </row>
    <row r="328" spans="1:29" s="437" customFormat="1">
      <c r="E328" s="438"/>
      <c r="F328" s="346"/>
      <c r="G328" s="435"/>
      <c r="H328" s="439"/>
      <c r="I328" s="435"/>
      <c r="J328" s="435"/>
      <c r="P328" s="436"/>
      <c r="Q328" s="506" t="s">
        <v>99</v>
      </c>
      <c r="R328" s="507" t="s">
        <v>734</v>
      </c>
      <c r="S328" s="507" t="s">
        <v>729</v>
      </c>
      <c r="T328" s="507">
        <v>346</v>
      </c>
      <c r="U328" s="448">
        <f t="shared" si="22"/>
        <v>9448.0499999999993</v>
      </c>
      <c r="V328" s="450">
        <v>9448.0499999999993</v>
      </c>
      <c r="W328" s="450"/>
      <c r="X328" s="448"/>
      <c r="Y328" s="449"/>
      <c r="Z328" s="450"/>
      <c r="AA328" s="448"/>
      <c r="AB328" s="449"/>
      <c r="AC328" s="450"/>
    </row>
    <row r="329" spans="1:29" s="437" customFormat="1">
      <c r="A329" s="437" t="s">
        <v>766</v>
      </c>
      <c r="B329" s="437" t="s">
        <v>99</v>
      </c>
      <c r="C329" s="437" t="s">
        <v>734</v>
      </c>
      <c r="D329" s="437" t="s">
        <v>735</v>
      </c>
      <c r="E329" s="438">
        <v>226</v>
      </c>
      <c r="F329" s="346">
        <v>34630.9</v>
      </c>
      <c r="G329" s="435">
        <v>0</v>
      </c>
      <c r="H329" s="439">
        <f t="shared" si="25"/>
        <v>34630.9</v>
      </c>
      <c r="I329" s="435">
        <v>0</v>
      </c>
      <c r="J329" s="435">
        <v>0</v>
      </c>
      <c r="P329" s="436" t="s">
        <v>766</v>
      </c>
      <c r="Q329" s="506" t="s">
        <v>99</v>
      </c>
      <c r="R329" s="507" t="s">
        <v>734</v>
      </c>
      <c r="S329" s="507" t="s">
        <v>735</v>
      </c>
      <c r="T329" s="507">
        <v>226</v>
      </c>
      <c r="U329" s="448">
        <f t="shared" si="22"/>
        <v>361868.12</v>
      </c>
      <c r="V329" s="450">
        <v>361868.12</v>
      </c>
      <c r="W329" s="450"/>
      <c r="X329" s="448">
        <f t="shared" si="23"/>
        <v>0</v>
      </c>
      <c r="Y329" s="449"/>
      <c r="Z329" s="450"/>
      <c r="AA329" s="448">
        <f t="shared" si="24"/>
        <v>0</v>
      </c>
      <c r="AB329" s="449"/>
      <c r="AC329" s="450"/>
    </row>
    <row r="330" spans="1:29" s="437" customFormat="1">
      <c r="E330" s="438"/>
      <c r="F330" s="346"/>
      <c r="G330" s="435"/>
      <c r="H330" s="439"/>
      <c r="I330" s="435"/>
      <c r="J330" s="435"/>
      <c r="P330" s="436"/>
      <c r="Q330" s="506" t="s">
        <v>99</v>
      </c>
      <c r="R330" s="507" t="s">
        <v>734</v>
      </c>
      <c r="S330" s="507" t="s">
        <v>735</v>
      </c>
      <c r="T330" s="507">
        <v>346</v>
      </c>
      <c r="U330" s="448">
        <f t="shared" si="22"/>
        <v>98731.88</v>
      </c>
      <c r="V330" s="450">
        <v>98731.88</v>
      </c>
      <c r="W330" s="450"/>
      <c r="X330" s="448"/>
      <c r="Y330" s="449"/>
      <c r="Z330" s="450"/>
      <c r="AA330" s="448"/>
      <c r="AB330" s="449"/>
      <c r="AC330" s="450"/>
    </row>
    <row r="331" spans="1:29" s="437" customFormat="1">
      <c r="A331" s="437" t="s">
        <v>766</v>
      </c>
      <c r="B331" s="437" t="s">
        <v>99</v>
      </c>
      <c r="C331" s="437" t="s">
        <v>734</v>
      </c>
      <c r="D331" s="437" t="s">
        <v>735</v>
      </c>
      <c r="E331" s="438">
        <v>346</v>
      </c>
      <c r="F331" s="346">
        <v>188960.57</v>
      </c>
      <c r="G331" s="435">
        <v>0</v>
      </c>
      <c r="H331" s="439">
        <f t="shared" si="25"/>
        <v>188960.57</v>
      </c>
      <c r="I331" s="435">
        <v>0</v>
      </c>
      <c r="J331" s="435">
        <v>0</v>
      </c>
      <c r="P331" s="436" t="s">
        <v>766</v>
      </c>
      <c r="Q331" s="506" t="s">
        <v>99</v>
      </c>
      <c r="R331" s="507" t="s">
        <v>734</v>
      </c>
      <c r="S331" s="508">
        <v>30015204</v>
      </c>
      <c r="T331" s="507">
        <v>226</v>
      </c>
      <c r="U331" s="448">
        <f t="shared" si="22"/>
        <v>296119.36</v>
      </c>
      <c r="V331" s="450">
        <v>296119.36</v>
      </c>
      <c r="W331" s="450"/>
      <c r="X331" s="448">
        <f t="shared" si="23"/>
        <v>0</v>
      </c>
      <c r="Y331" s="449"/>
      <c r="Z331" s="450"/>
      <c r="AA331" s="448">
        <f t="shared" si="24"/>
        <v>0</v>
      </c>
      <c r="AB331" s="449"/>
      <c r="AC331" s="450"/>
    </row>
    <row r="332" spans="1:29" s="437" customFormat="1">
      <c r="E332" s="438"/>
      <c r="F332" s="346"/>
      <c r="G332" s="435"/>
      <c r="H332" s="439"/>
      <c r="I332" s="435"/>
      <c r="J332" s="435"/>
      <c r="P332" s="436"/>
      <c r="Q332" s="509" t="s">
        <v>99</v>
      </c>
      <c r="R332" s="510" t="s">
        <v>734</v>
      </c>
      <c r="S332" s="511">
        <v>30015204</v>
      </c>
      <c r="T332" s="510">
        <v>346</v>
      </c>
      <c r="U332" s="502">
        <f t="shared" si="22"/>
        <v>80780.639999999999</v>
      </c>
      <c r="V332" s="503">
        <v>80780.639999999999</v>
      </c>
      <c r="W332" s="450"/>
      <c r="X332" s="448"/>
      <c r="Y332" s="449"/>
      <c r="Z332" s="450"/>
      <c r="AA332" s="448"/>
      <c r="AB332" s="449"/>
      <c r="AC332" s="450"/>
    </row>
    <row r="333" spans="1:29" s="381" customFormat="1">
      <c r="B333" s="381" t="s">
        <v>99</v>
      </c>
      <c r="C333" s="381" t="s">
        <v>728</v>
      </c>
      <c r="D333" s="381" t="s">
        <v>729</v>
      </c>
      <c r="E333" s="381" t="s">
        <v>114</v>
      </c>
      <c r="F333" s="346">
        <v>26310.14</v>
      </c>
      <c r="G333" s="346">
        <f>G174</f>
        <v>26310.14</v>
      </c>
      <c r="H333" s="408">
        <f t="shared" si="25"/>
        <v>0</v>
      </c>
      <c r="I333" s="346">
        <f>J174</f>
        <v>30893.68</v>
      </c>
      <c r="J333" s="346">
        <f>M174</f>
        <v>30616.73</v>
      </c>
      <c r="P333" s="436"/>
      <c r="Q333" s="436" t="s">
        <v>99</v>
      </c>
      <c r="R333" s="436" t="s">
        <v>728</v>
      </c>
      <c r="S333" s="436" t="s">
        <v>729</v>
      </c>
      <c r="T333" s="436" t="s">
        <v>114</v>
      </c>
      <c r="U333" s="448">
        <f t="shared" si="22"/>
        <v>32481.66</v>
      </c>
      <c r="V333" s="449">
        <v>26310.14</v>
      </c>
      <c r="W333" s="450">
        <f>F369</f>
        <v>6171.52</v>
      </c>
      <c r="X333" s="448">
        <f t="shared" si="23"/>
        <v>38140.339999999997</v>
      </c>
      <c r="Y333" s="449">
        <v>30893.68</v>
      </c>
      <c r="Z333" s="450">
        <v>7246.66</v>
      </c>
      <c r="AA333" s="448">
        <f t="shared" si="24"/>
        <v>37798.449999999997</v>
      </c>
      <c r="AB333" s="449">
        <v>30616.73</v>
      </c>
      <c r="AC333" s="450">
        <v>7181.72</v>
      </c>
    </row>
    <row r="334" spans="1:29">
      <c r="B334" s="381" t="s">
        <v>99</v>
      </c>
      <c r="C334" s="381" t="s">
        <v>728</v>
      </c>
      <c r="D334" s="381" t="s">
        <v>729</v>
      </c>
      <c r="E334" s="381" t="s">
        <v>115</v>
      </c>
      <c r="F334" s="346">
        <f>187438.31</f>
        <v>187438.31</v>
      </c>
      <c r="G334" s="346" t="e">
        <f>#REF!</f>
        <v>#REF!</v>
      </c>
      <c r="H334" s="408" t="e">
        <f t="shared" si="25"/>
        <v>#REF!</v>
      </c>
      <c r="I334" s="346" t="e">
        <f>#REF!</f>
        <v>#REF!</v>
      </c>
      <c r="J334" s="346" t="e">
        <f>#REF!</f>
        <v>#REF!</v>
      </c>
      <c r="P334" s="436"/>
      <c r="Q334" s="436" t="s">
        <v>99</v>
      </c>
      <c r="R334" s="436" t="s">
        <v>728</v>
      </c>
      <c r="S334" s="436" t="s">
        <v>729</v>
      </c>
      <c r="T334" s="436" t="s">
        <v>115</v>
      </c>
      <c r="U334" s="448">
        <f t="shared" si="22"/>
        <v>725361.42</v>
      </c>
      <c r="V334" s="449">
        <v>187438.31</v>
      </c>
      <c r="W334" s="450">
        <f>F370</f>
        <v>537923.11</v>
      </c>
      <c r="X334" s="448">
        <f t="shared" si="23"/>
        <v>678458.74</v>
      </c>
      <c r="Y334" s="449">
        <v>187438.31</v>
      </c>
      <c r="Z334" s="450">
        <f>43967.01+80867.29+50013.29+286260.94+29911.9</f>
        <v>491020.43</v>
      </c>
      <c r="AA334" s="448">
        <f t="shared" si="24"/>
        <v>678458.74</v>
      </c>
      <c r="AB334" s="449">
        <f>187438.31</f>
        <v>187438.31</v>
      </c>
      <c r="AC334" s="450">
        <f>43967.01+80867.29+50013.29+286260.94+29911.9</f>
        <v>491020.43</v>
      </c>
    </row>
    <row r="335" spans="1:29">
      <c r="B335" s="44" t="s">
        <v>99</v>
      </c>
      <c r="C335" s="44" t="s">
        <v>733</v>
      </c>
      <c r="D335" s="44" t="s">
        <v>729</v>
      </c>
      <c r="E335" s="44" t="s">
        <v>115</v>
      </c>
      <c r="F335" s="346">
        <v>460603.27</v>
      </c>
      <c r="G335" s="54">
        <f>G164</f>
        <v>460603.27</v>
      </c>
      <c r="H335" s="407">
        <f t="shared" si="25"/>
        <v>0</v>
      </c>
      <c r="I335" s="54"/>
      <c r="J335" s="54"/>
      <c r="P335" s="436"/>
      <c r="Q335" s="436" t="s">
        <v>99</v>
      </c>
      <c r="R335" s="436" t="s">
        <v>733</v>
      </c>
      <c r="S335" s="436" t="s">
        <v>729</v>
      </c>
      <c r="T335" s="436" t="s">
        <v>115</v>
      </c>
      <c r="U335" s="448">
        <f t="shared" si="22"/>
        <v>460603.27</v>
      </c>
      <c r="V335" s="449">
        <v>460603.27</v>
      </c>
      <c r="W335" s="450">
        <f>F371</f>
        <v>0</v>
      </c>
      <c r="X335" s="448">
        <f t="shared" si="23"/>
        <v>477131.95</v>
      </c>
      <c r="Y335" s="449">
        <f>467131.95+10000</f>
        <v>477131.95</v>
      </c>
      <c r="Z335" s="450"/>
      <c r="AA335" s="448">
        <f t="shared" si="24"/>
        <v>341416.55</v>
      </c>
      <c r="AB335" s="449">
        <v>341416.55</v>
      </c>
      <c r="AC335" s="450">
        <v>0</v>
      </c>
    </row>
    <row r="336" spans="1:29" s="381" customFormat="1">
      <c r="B336" s="381" t="s">
        <v>93</v>
      </c>
      <c r="C336" s="381" t="s">
        <v>728</v>
      </c>
      <c r="D336" s="381" t="s">
        <v>729</v>
      </c>
      <c r="E336" s="381" t="s">
        <v>94</v>
      </c>
      <c r="F336" s="346">
        <f>V381</f>
        <v>50065.93</v>
      </c>
      <c r="G336" s="346" t="e">
        <f>#REF!</f>
        <v>#REF!</v>
      </c>
      <c r="H336" s="408" t="e">
        <f t="shared" si="25"/>
        <v>#REF!</v>
      </c>
      <c r="I336" s="346" t="e">
        <f>#REF!</f>
        <v>#REF!</v>
      </c>
      <c r="J336" s="346" t="e">
        <f>#REF!</f>
        <v>#REF!</v>
      </c>
      <c r="P336" s="436"/>
      <c r="Q336" s="436" t="s">
        <v>93</v>
      </c>
      <c r="R336" s="436" t="s">
        <v>728</v>
      </c>
      <c r="S336" s="436" t="s">
        <v>729</v>
      </c>
      <c r="T336" s="436" t="s">
        <v>94</v>
      </c>
      <c r="U336" s="448">
        <f t="shared" si="22"/>
        <v>67448.710000000006</v>
      </c>
      <c r="V336" s="449">
        <v>60988.31</v>
      </c>
      <c r="W336" s="450">
        <f>F372</f>
        <v>6460.4</v>
      </c>
      <c r="X336" s="448">
        <f t="shared" si="23"/>
        <v>67448.710000000006</v>
      </c>
      <c r="Y336" s="449">
        <v>60988.31</v>
      </c>
      <c r="Z336" s="450">
        <v>6460.4</v>
      </c>
      <c r="AA336" s="448">
        <f t="shared" si="24"/>
        <v>67448.710000000006</v>
      </c>
      <c r="AB336" s="449">
        <v>60988.31</v>
      </c>
      <c r="AC336" s="450">
        <v>6460.4</v>
      </c>
    </row>
    <row r="337" spans="2:29" s="381" customFormat="1">
      <c r="F337" s="346"/>
      <c r="G337" s="346"/>
      <c r="H337" s="408"/>
      <c r="I337" s="346"/>
      <c r="J337" s="346"/>
      <c r="P337" s="436"/>
      <c r="Q337" s="436"/>
      <c r="R337" s="436"/>
      <c r="S337" s="436"/>
      <c r="T337" s="436">
        <v>342</v>
      </c>
      <c r="U337" s="448">
        <f t="shared" si="22"/>
        <v>51570</v>
      </c>
      <c r="V337" s="449"/>
      <c r="W337" s="450">
        <f>F368</f>
        <v>51570</v>
      </c>
      <c r="X337" s="448">
        <f t="shared" si="23"/>
        <v>51570</v>
      </c>
      <c r="Y337" s="449">
        <v>0</v>
      </c>
      <c r="Z337" s="450">
        <v>51570</v>
      </c>
      <c r="AA337" s="448">
        <f t="shared" si="24"/>
        <v>51570</v>
      </c>
      <c r="AB337" s="449"/>
      <c r="AC337" s="450">
        <v>51570</v>
      </c>
    </row>
    <row r="338" spans="2:29" s="381" customFormat="1">
      <c r="F338" s="346"/>
      <c r="G338" s="346"/>
      <c r="H338" s="408"/>
      <c r="I338" s="346"/>
      <c r="J338" s="346"/>
      <c r="P338" s="436"/>
      <c r="Q338" s="436"/>
      <c r="R338" s="436"/>
      <c r="S338" s="436"/>
      <c r="T338" s="436">
        <v>349</v>
      </c>
      <c r="U338" s="448">
        <f t="shared" si="22"/>
        <v>362549.12</v>
      </c>
      <c r="V338" s="449"/>
      <c r="W338" s="450">
        <f>F364</f>
        <v>362549.12</v>
      </c>
      <c r="X338" s="448">
        <f t="shared" si="23"/>
        <v>1051373.24</v>
      </c>
      <c r="Y338" s="449">
        <v>0</v>
      </c>
      <c r="Z338" s="450">
        <f>151800+899573.24</f>
        <v>1051373.24</v>
      </c>
      <c r="AA338" s="448">
        <f t="shared" si="24"/>
        <v>1051373.24</v>
      </c>
      <c r="AB338" s="449"/>
      <c r="AC338" s="450">
        <f>151800+899573.24</f>
        <v>1051373.24</v>
      </c>
    </row>
    <row r="339" spans="2:29" s="381" customFormat="1">
      <c r="F339" s="346"/>
      <c r="G339" s="346"/>
      <c r="H339" s="408"/>
      <c r="I339" s="346"/>
      <c r="J339" s="346"/>
      <c r="P339" s="436"/>
      <c r="Q339" s="436"/>
      <c r="R339" s="436"/>
      <c r="S339" s="436"/>
      <c r="T339" s="436"/>
      <c r="U339" s="448">
        <f t="shared" si="22"/>
        <v>0</v>
      </c>
      <c r="V339" s="449"/>
      <c r="W339" s="450"/>
      <c r="X339" s="448">
        <f t="shared" si="23"/>
        <v>0</v>
      </c>
      <c r="Y339" s="449"/>
      <c r="Z339" s="450"/>
      <c r="AA339" s="448"/>
      <c r="AB339" s="449"/>
      <c r="AC339" s="450"/>
    </row>
    <row r="340" spans="2:29">
      <c r="F340" s="54">
        <f>SUM(F307:F336)</f>
        <v>64387404.700000003</v>
      </c>
      <c r="G340" s="54" t="e">
        <f>SUM(G307:G336)</f>
        <v>#REF!</v>
      </c>
      <c r="H340" s="405"/>
      <c r="I340" s="54"/>
      <c r="J340" s="54"/>
      <c r="U340" s="445">
        <f t="shared" ref="U340" si="26">SUM(U307:U339)</f>
        <v>84227468.189999998</v>
      </c>
      <c r="V340" s="445">
        <f>SUM(V307:V339)</f>
        <v>73626292.310000002</v>
      </c>
      <c r="W340" s="445">
        <f>SUM(W307:W339)</f>
        <v>10601175.880000001</v>
      </c>
      <c r="X340" s="446">
        <f t="shared" ref="X340:AC340" si="27">SUM(X307:X339)</f>
        <v>82976075.579999998</v>
      </c>
      <c r="Y340" s="447">
        <f t="shared" si="27"/>
        <v>71486075.579999998</v>
      </c>
      <c r="Z340" s="445">
        <f t="shared" si="27"/>
        <v>11490000</v>
      </c>
      <c r="AA340" s="446">
        <f t="shared" si="27"/>
        <v>75136271.030000001</v>
      </c>
      <c r="AB340" s="447">
        <f t="shared" si="27"/>
        <v>63646271.030000001</v>
      </c>
      <c r="AC340" s="445">
        <f t="shared" si="27"/>
        <v>11490000</v>
      </c>
    </row>
    <row r="341" spans="2:29">
      <c r="F341" s="54">
        <v>73626292.329999998</v>
      </c>
      <c r="G341" s="54"/>
      <c r="H341" s="405"/>
      <c r="Y341" s="54">
        <v>71486075.579999998</v>
      </c>
      <c r="Z341" s="54">
        <v>11490000</v>
      </c>
      <c r="AB341" s="44">
        <v>63646271.030000001</v>
      </c>
      <c r="AC341" s="54">
        <v>11490000</v>
      </c>
    </row>
    <row r="342" spans="2:29">
      <c r="F342" s="54">
        <f>F340-F341</f>
        <v>-9238887.6300000008</v>
      </c>
      <c r="G342" s="54"/>
      <c r="H342" s="405"/>
      <c r="Y342" s="54">
        <f>Y340-Y341</f>
        <v>0</v>
      </c>
      <c r="Z342" s="54">
        <f t="shared" ref="Z342:AC342" si="28">Z340-Z341</f>
        <v>0</v>
      </c>
      <c r="AA342" s="54">
        <f t="shared" si="28"/>
        <v>75136271.030000001</v>
      </c>
      <c r="AB342" s="54">
        <f t="shared" si="28"/>
        <v>0</v>
      </c>
      <c r="AC342" s="54">
        <f t="shared" si="28"/>
        <v>0</v>
      </c>
    </row>
    <row r="343" spans="2:29">
      <c r="H343" s="405"/>
    </row>
    <row r="344" spans="2:29" ht="26.25">
      <c r="F344" s="380" t="s">
        <v>756</v>
      </c>
      <c r="G344" s="44" t="s">
        <v>753</v>
      </c>
      <c r="H344" s="198" t="s">
        <v>754</v>
      </c>
      <c r="I344" s="44">
        <v>2023</v>
      </c>
      <c r="J344" s="44">
        <v>2024</v>
      </c>
      <c r="Y344" s="54">
        <f>Y333+Y334+Y335</f>
        <v>695463.94</v>
      </c>
    </row>
    <row r="345" spans="2:29">
      <c r="B345" s="44" t="s">
        <v>64</v>
      </c>
      <c r="C345" s="44" t="s">
        <v>728</v>
      </c>
      <c r="D345" s="394" t="s">
        <v>761</v>
      </c>
      <c r="E345" s="44" t="s">
        <v>67</v>
      </c>
      <c r="F345" s="54">
        <v>1000</v>
      </c>
      <c r="G345" s="54"/>
      <c r="H345" s="405">
        <f>F345-G345</f>
        <v>1000</v>
      </c>
      <c r="I345" s="54"/>
      <c r="J345" s="54"/>
    </row>
    <row r="346" spans="2:29">
      <c r="B346" s="44" t="s">
        <v>64</v>
      </c>
      <c r="C346" s="44" t="s">
        <v>730</v>
      </c>
      <c r="D346" s="44" t="s">
        <v>761</v>
      </c>
      <c r="E346" s="44" t="s">
        <v>67</v>
      </c>
      <c r="F346" s="54">
        <v>4526126.91</v>
      </c>
      <c r="G346" s="54"/>
      <c r="H346" s="405">
        <f t="shared" ref="H346:H374" si="29">F346-G346</f>
        <v>4526126.91</v>
      </c>
      <c r="I346" s="54"/>
      <c r="J346" s="54"/>
    </row>
    <row r="347" spans="2:29">
      <c r="B347" s="44" t="s">
        <v>64</v>
      </c>
      <c r="C347" s="44" t="s">
        <v>731</v>
      </c>
      <c r="D347" s="44" t="s">
        <v>761</v>
      </c>
      <c r="E347" s="44" t="s">
        <v>67</v>
      </c>
      <c r="F347" s="54">
        <v>0</v>
      </c>
      <c r="G347" s="54"/>
      <c r="H347" s="405">
        <f t="shared" si="29"/>
        <v>0</v>
      </c>
      <c r="I347" s="54"/>
      <c r="J347" s="54"/>
    </row>
    <row r="348" spans="2:29">
      <c r="B348" s="44" t="s">
        <v>64</v>
      </c>
      <c r="C348" s="44" t="s">
        <v>732</v>
      </c>
      <c r="D348" s="44" t="s">
        <v>761</v>
      </c>
      <c r="E348" s="44" t="s">
        <v>67</v>
      </c>
      <c r="F348" s="54">
        <v>0</v>
      </c>
      <c r="G348" s="54"/>
      <c r="H348" s="405">
        <f t="shared" si="29"/>
        <v>0</v>
      </c>
      <c r="I348" s="54"/>
      <c r="J348" s="54"/>
    </row>
    <row r="349" spans="2:29">
      <c r="B349" s="44" t="s">
        <v>64</v>
      </c>
      <c r="C349" s="44" t="s">
        <v>728</v>
      </c>
      <c r="D349" s="44" t="s">
        <v>761</v>
      </c>
      <c r="E349" s="44" t="s">
        <v>69</v>
      </c>
      <c r="F349" s="54"/>
      <c r="G349" s="54"/>
      <c r="H349" s="405">
        <f t="shared" si="29"/>
        <v>0</v>
      </c>
      <c r="I349" s="54"/>
      <c r="J349" s="54"/>
      <c r="P349" s="180"/>
      <c r="Q349" s="180"/>
      <c r="R349" s="974" t="s">
        <v>770</v>
      </c>
      <c r="S349" s="974"/>
      <c r="T349" s="974"/>
      <c r="U349" s="974"/>
      <c r="V349" s="974"/>
      <c r="W349" s="974"/>
      <c r="X349" s="974"/>
      <c r="Y349" s="974"/>
      <c r="Z349" s="974"/>
      <c r="AA349" s="974"/>
      <c r="AB349" s="974"/>
      <c r="AC349" s="974"/>
    </row>
    <row r="350" spans="2:29" s="381" customFormat="1">
      <c r="B350" s="381" t="s">
        <v>72</v>
      </c>
      <c r="C350" s="381" t="s">
        <v>728</v>
      </c>
      <c r="D350" s="381" t="s">
        <v>761</v>
      </c>
      <c r="E350" s="381" t="s">
        <v>76</v>
      </c>
      <c r="F350" s="346">
        <v>100000</v>
      </c>
      <c r="G350" s="346">
        <f>'Лист7(214,266)'!E20</f>
        <v>100000</v>
      </c>
      <c r="H350" s="405">
        <f t="shared" si="29"/>
        <v>0</v>
      </c>
      <c r="I350" s="346">
        <f>'Лист7(214,266)'!H20</f>
        <v>60000</v>
      </c>
      <c r="J350" s="346">
        <f>'Лист7(214,266)'!K20</f>
        <v>100800</v>
      </c>
      <c r="P350" s="180"/>
      <c r="Q350" s="180"/>
      <c r="R350" s="974"/>
      <c r="S350" s="974"/>
      <c r="T350" s="974"/>
      <c r="U350" s="974"/>
      <c r="V350" s="974"/>
      <c r="W350" s="974"/>
      <c r="X350" s="974"/>
      <c r="Y350" s="974"/>
      <c r="Z350" s="974"/>
      <c r="AA350" s="974"/>
      <c r="AB350" s="974"/>
      <c r="AC350" s="974"/>
    </row>
    <row r="351" spans="2:29">
      <c r="B351" s="44" t="s">
        <v>72</v>
      </c>
      <c r="C351" s="44" t="s">
        <v>728</v>
      </c>
      <c r="D351" s="44" t="s">
        <v>761</v>
      </c>
      <c r="E351" s="44" t="s">
        <v>77</v>
      </c>
      <c r="F351" s="54">
        <v>0</v>
      </c>
      <c r="G351" s="54"/>
      <c r="H351" s="405">
        <f t="shared" si="29"/>
        <v>0</v>
      </c>
      <c r="I351" s="54"/>
      <c r="J351" s="54"/>
      <c r="P351" s="180"/>
      <c r="Q351" s="180"/>
      <c r="R351" s="974"/>
      <c r="S351" s="974"/>
      <c r="T351" s="974"/>
      <c r="U351" s="974"/>
      <c r="V351" s="974"/>
      <c r="W351" s="974"/>
      <c r="X351" s="974"/>
      <c r="Y351" s="974"/>
      <c r="Z351" s="974"/>
      <c r="AA351" s="974"/>
      <c r="AB351" s="974"/>
      <c r="AC351" s="974"/>
    </row>
    <row r="352" spans="2:29">
      <c r="B352" s="44" t="s">
        <v>72</v>
      </c>
      <c r="C352" s="44" t="s">
        <v>728</v>
      </c>
      <c r="D352" s="44" t="s">
        <v>761</v>
      </c>
      <c r="E352" s="44" t="s">
        <v>69</v>
      </c>
      <c r="F352" s="54">
        <v>425</v>
      </c>
      <c r="G352" s="54"/>
      <c r="H352" s="405">
        <f t="shared" si="29"/>
        <v>425</v>
      </c>
      <c r="I352" s="54"/>
      <c r="J352" s="54"/>
      <c r="P352" s="180"/>
      <c r="Q352" s="180"/>
      <c r="R352" s="180"/>
      <c r="S352" s="180"/>
      <c r="T352" s="180"/>
      <c r="U352" s="975">
        <v>2022</v>
      </c>
      <c r="V352" s="976"/>
      <c r="W352" s="977"/>
      <c r="X352" s="975">
        <v>2023</v>
      </c>
      <c r="Y352" s="976"/>
      <c r="Z352" s="977"/>
      <c r="AA352" s="975">
        <v>2024</v>
      </c>
      <c r="AB352" s="976"/>
      <c r="AC352" s="977"/>
    </row>
    <row r="353" spans="2:29">
      <c r="B353" s="44" t="s">
        <v>80</v>
      </c>
      <c r="C353" s="44" t="s">
        <v>728</v>
      </c>
      <c r="D353" s="44" t="s">
        <v>761</v>
      </c>
      <c r="E353" s="44" t="s">
        <v>83</v>
      </c>
      <c r="F353" s="54">
        <v>1477069.57</v>
      </c>
      <c r="G353" s="54"/>
      <c r="H353" s="405">
        <f t="shared" si="29"/>
        <v>1477069.57</v>
      </c>
      <c r="I353" s="54"/>
      <c r="J353" s="54"/>
      <c r="P353" s="436" t="s">
        <v>763</v>
      </c>
      <c r="Q353" s="436" t="s">
        <v>64</v>
      </c>
      <c r="R353" s="436" t="s">
        <v>728</v>
      </c>
      <c r="S353" s="436" t="s">
        <v>793</v>
      </c>
      <c r="T353" s="436" t="s">
        <v>67</v>
      </c>
      <c r="U353" s="448">
        <f>V353+W353</f>
        <v>58000</v>
      </c>
      <c r="V353" s="449">
        <v>57000</v>
      </c>
      <c r="W353" s="450">
        <v>1000</v>
      </c>
      <c r="X353" s="448">
        <f>Y353+Z353</f>
        <v>62000</v>
      </c>
      <c r="Y353" s="449">
        <f>13000+4000+20000+20000+5000</f>
        <v>62000</v>
      </c>
      <c r="Z353" s="450"/>
      <c r="AA353" s="448">
        <f>AB353+AC353</f>
        <v>37000</v>
      </c>
      <c r="AB353" s="449">
        <f>8000+4000+20000+5000</f>
        <v>37000</v>
      </c>
      <c r="AC353" s="450"/>
    </row>
    <row r="354" spans="2:29">
      <c r="B354" s="44" t="s">
        <v>80</v>
      </c>
      <c r="C354" s="44" t="s">
        <v>730</v>
      </c>
      <c r="D354" s="44" t="s">
        <v>761</v>
      </c>
      <c r="E354" s="44" t="s">
        <v>83</v>
      </c>
      <c r="F354" s="54">
        <v>0</v>
      </c>
      <c r="G354" s="54"/>
      <c r="H354" s="405">
        <f t="shared" si="29"/>
        <v>0</v>
      </c>
      <c r="I354" s="54"/>
      <c r="J354" s="54"/>
      <c r="P354" s="436" t="s">
        <v>764</v>
      </c>
      <c r="Q354" s="436" t="s">
        <v>64</v>
      </c>
      <c r="R354" s="436" t="s">
        <v>730</v>
      </c>
      <c r="S354" s="436" t="s">
        <v>793</v>
      </c>
      <c r="T354" s="436" t="s">
        <v>67</v>
      </c>
      <c r="U354" s="448">
        <f t="shared" ref="U354:U385" si="30">V354+W354</f>
        <v>37903413.68</v>
      </c>
      <c r="V354" s="453">
        <f>40764980.37-7387693.6</f>
        <v>33377286.77</v>
      </c>
      <c r="W354" s="450">
        <v>4526126.91</v>
      </c>
      <c r="X354" s="448">
        <f t="shared" ref="X354:X385" si="31">Y354+Z354</f>
        <v>29674566.350000001</v>
      </c>
      <c r="Y354" s="453">
        <f>40398633.81-15616540.93</f>
        <v>24782092.879999999</v>
      </c>
      <c r="Z354" s="450">
        <v>4892473.47</v>
      </c>
      <c r="AA354" s="448">
        <f t="shared" ref="AA354:AA370" si="32">AB354+AC354</f>
        <v>31978747.210000001</v>
      </c>
      <c r="AB354" s="453">
        <f>40434215.56-13312360.07</f>
        <v>27121855.489999998</v>
      </c>
      <c r="AC354" s="450">
        <v>4856891.72</v>
      </c>
    </row>
    <row r="355" spans="2:29">
      <c r="B355" s="44" t="s">
        <v>80</v>
      </c>
      <c r="C355" s="44" t="s">
        <v>731</v>
      </c>
      <c r="D355" s="44" t="s">
        <v>761</v>
      </c>
      <c r="E355" s="44" t="s">
        <v>83</v>
      </c>
      <c r="F355" s="54">
        <v>0</v>
      </c>
      <c r="G355" s="54"/>
      <c r="H355" s="405">
        <f t="shared" si="29"/>
        <v>0</v>
      </c>
      <c r="I355" s="54"/>
      <c r="J355" s="54"/>
      <c r="P355" s="436"/>
      <c r="Q355" s="436" t="s">
        <v>64</v>
      </c>
      <c r="R355" s="436" t="s">
        <v>731</v>
      </c>
      <c r="S355" s="436" t="s">
        <v>793</v>
      </c>
      <c r="T355" s="436" t="s">
        <v>67</v>
      </c>
      <c r="U355" s="448">
        <f t="shared" si="30"/>
        <v>0</v>
      </c>
      <c r="V355" s="449">
        <v>0</v>
      </c>
      <c r="W355" s="450"/>
      <c r="X355" s="448">
        <f t="shared" si="31"/>
        <v>0</v>
      </c>
      <c r="Y355" s="449"/>
      <c r="Z355" s="450"/>
      <c r="AA355" s="448">
        <f t="shared" si="32"/>
        <v>0</v>
      </c>
      <c r="AB355" s="449"/>
      <c r="AC355" s="450"/>
    </row>
    <row r="356" spans="2:29">
      <c r="B356" s="44" t="s">
        <v>80</v>
      </c>
      <c r="C356" s="44" t="s">
        <v>732</v>
      </c>
      <c r="D356" s="44" t="s">
        <v>761</v>
      </c>
      <c r="E356" s="44" t="s">
        <v>83</v>
      </c>
      <c r="F356" s="54">
        <v>0</v>
      </c>
      <c r="G356" s="54"/>
      <c r="H356" s="405">
        <f t="shared" si="29"/>
        <v>0</v>
      </c>
      <c r="I356" s="54"/>
      <c r="J356" s="54"/>
      <c r="P356" s="436"/>
      <c r="Q356" s="436" t="s">
        <v>64</v>
      </c>
      <c r="R356" s="436" t="s">
        <v>732</v>
      </c>
      <c r="S356" s="436" t="s">
        <v>793</v>
      </c>
      <c r="T356" s="436" t="s">
        <v>67</v>
      </c>
      <c r="U356" s="448">
        <f t="shared" si="30"/>
        <v>0</v>
      </c>
      <c r="V356" s="449">
        <v>0</v>
      </c>
      <c r="W356" s="450"/>
      <c r="X356" s="448">
        <f t="shared" si="31"/>
        <v>0</v>
      </c>
      <c r="Y356" s="449"/>
      <c r="Z356" s="450"/>
      <c r="AA356" s="448">
        <f t="shared" si="32"/>
        <v>0</v>
      </c>
      <c r="AB356" s="449"/>
      <c r="AC356" s="450"/>
    </row>
    <row r="357" spans="2:29">
      <c r="B357" s="44" t="s">
        <v>80</v>
      </c>
      <c r="C357" s="44" t="s">
        <v>728</v>
      </c>
      <c r="D357" s="44" t="s">
        <v>761</v>
      </c>
      <c r="E357" s="44" t="s">
        <v>69</v>
      </c>
      <c r="F357" s="54">
        <v>0</v>
      </c>
      <c r="G357" s="54"/>
      <c r="H357" s="405">
        <f t="shared" si="29"/>
        <v>0</v>
      </c>
      <c r="I357" s="54"/>
      <c r="J357" s="54"/>
      <c r="P357" s="436" t="s">
        <v>767</v>
      </c>
      <c r="Q357" s="436" t="s">
        <v>64</v>
      </c>
      <c r="R357" s="436" t="s">
        <v>728</v>
      </c>
      <c r="S357" s="436" t="s">
        <v>793</v>
      </c>
      <c r="T357" s="436" t="s">
        <v>69</v>
      </c>
      <c r="U357" s="448">
        <f t="shared" si="30"/>
        <v>414998.65</v>
      </c>
      <c r="V357" s="451">
        <f>364367.34+50631.31</f>
        <v>414998.65</v>
      </c>
      <c r="W357" s="450"/>
      <c r="X357" s="448">
        <f t="shared" si="31"/>
        <v>73402.11</v>
      </c>
      <c r="Y357" s="451">
        <f>55386.41+110699.42-92683.72</f>
        <v>73402.11</v>
      </c>
      <c r="Z357" s="450">
        <v>0</v>
      </c>
      <c r="AA357" s="448">
        <f t="shared" si="32"/>
        <v>0</v>
      </c>
      <c r="AB357" s="449">
        <v>0</v>
      </c>
      <c r="AC357" s="450">
        <v>0</v>
      </c>
    </row>
    <row r="358" spans="2:29">
      <c r="B358" s="381" t="s">
        <v>99</v>
      </c>
      <c r="C358" s="381" t="s">
        <v>728</v>
      </c>
      <c r="D358" s="381" t="s">
        <v>761</v>
      </c>
      <c r="E358" s="381" t="s">
        <v>103</v>
      </c>
      <c r="F358" s="346">
        <v>0</v>
      </c>
      <c r="G358" s="346" t="e">
        <f>#REF!</f>
        <v>#REF!</v>
      </c>
      <c r="H358" s="405" t="e">
        <f t="shared" si="29"/>
        <v>#REF!</v>
      </c>
      <c r="I358" s="346" t="e">
        <f>#REF!</f>
        <v>#REF!</v>
      </c>
      <c r="J358" s="346" t="e">
        <f>#REF!</f>
        <v>#REF!</v>
      </c>
      <c r="P358" s="436"/>
      <c r="Q358" s="436" t="s">
        <v>72</v>
      </c>
      <c r="R358" s="436" t="s">
        <v>728</v>
      </c>
      <c r="S358" s="436" t="s">
        <v>793</v>
      </c>
      <c r="T358" s="436" t="s">
        <v>76</v>
      </c>
      <c r="U358" s="448">
        <f t="shared" si="30"/>
        <v>1100000</v>
      </c>
      <c r="V358" s="449">
        <v>1000000</v>
      </c>
      <c r="W358" s="450">
        <v>100000</v>
      </c>
      <c r="X358" s="448">
        <f t="shared" si="31"/>
        <v>1020000</v>
      </c>
      <c r="Y358" s="449">
        <v>960000</v>
      </c>
      <c r="Z358" s="450">
        <v>60000</v>
      </c>
      <c r="AA358" s="448">
        <f t="shared" si="32"/>
        <v>1100000</v>
      </c>
      <c r="AB358" s="449">
        <f>400000+599200</f>
        <v>999200</v>
      </c>
      <c r="AC358" s="450">
        <v>100800</v>
      </c>
    </row>
    <row r="359" spans="2:29">
      <c r="B359" s="381" t="s">
        <v>99</v>
      </c>
      <c r="C359" s="381" t="s">
        <v>728</v>
      </c>
      <c r="D359" s="381" t="s">
        <v>761</v>
      </c>
      <c r="E359" s="381" t="s">
        <v>105</v>
      </c>
      <c r="F359" s="346">
        <f>136164.6+30470.87</f>
        <v>166635.47</v>
      </c>
      <c r="G359" s="346" t="e">
        <f>#REF!</f>
        <v>#REF!</v>
      </c>
      <c r="H359" s="405" t="e">
        <f t="shared" si="29"/>
        <v>#REF!</v>
      </c>
      <c r="I359" s="346" t="e">
        <f>#REF!</f>
        <v>#REF!</v>
      </c>
      <c r="J359" s="346" t="e">
        <f>#REF!</f>
        <v>#REF!</v>
      </c>
      <c r="P359" s="436"/>
      <c r="Q359" s="436" t="s">
        <v>72</v>
      </c>
      <c r="R359" s="436" t="s">
        <v>728</v>
      </c>
      <c r="S359" s="436" t="s">
        <v>793</v>
      </c>
      <c r="T359" s="436" t="s">
        <v>77</v>
      </c>
      <c r="U359" s="448">
        <f t="shared" si="30"/>
        <v>0</v>
      </c>
      <c r="V359" s="449">
        <v>0</v>
      </c>
      <c r="W359" s="450"/>
      <c r="X359" s="448">
        <f t="shared" si="31"/>
        <v>0</v>
      </c>
      <c r="Y359" s="449"/>
      <c r="Z359" s="450"/>
      <c r="AA359" s="448">
        <f t="shared" si="32"/>
        <v>0</v>
      </c>
      <c r="AB359" s="449"/>
      <c r="AC359" s="450"/>
    </row>
    <row r="360" spans="2:29" s="381" customFormat="1">
      <c r="B360" s="381" t="s">
        <v>99</v>
      </c>
      <c r="C360" s="381" t="s">
        <v>728</v>
      </c>
      <c r="D360" s="381" t="s">
        <v>761</v>
      </c>
      <c r="E360" s="381" t="s">
        <v>107</v>
      </c>
      <c r="F360" s="346">
        <f>111651.14+7042.86</f>
        <v>118694</v>
      </c>
      <c r="G360" s="346" t="e">
        <f>#REF!</f>
        <v>#REF!</v>
      </c>
      <c r="H360" s="405" t="e">
        <f t="shared" si="29"/>
        <v>#REF!</v>
      </c>
      <c r="I360" s="346" t="e">
        <f>#REF!</f>
        <v>#REF!</v>
      </c>
      <c r="J360" s="346" t="e">
        <f>#REF!</f>
        <v>#REF!</v>
      </c>
      <c r="P360" s="436" t="s">
        <v>768</v>
      </c>
      <c r="Q360" s="436" t="s">
        <v>72</v>
      </c>
      <c r="R360" s="436" t="s">
        <v>728</v>
      </c>
      <c r="S360" s="436" t="s">
        <v>793</v>
      </c>
      <c r="T360" s="436" t="s">
        <v>69</v>
      </c>
      <c r="U360" s="448">
        <f t="shared" si="30"/>
        <v>2040</v>
      </c>
      <c r="V360" s="449">
        <v>1615</v>
      </c>
      <c r="W360" s="450">
        <v>425</v>
      </c>
      <c r="X360" s="448">
        <f t="shared" si="31"/>
        <v>510</v>
      </c>
      <c r="Y360" s="449">
        <v>510</v>
      </c>
      <c r="Z360" s="450">
        <v>0</v>
      </c>
      <c r="AA360" s="448">
        <f t="shared" si="32"/>
        <v>0</v>
      </c>
      <c r="AB360" s="449">
        <v>0</v>
      </c>
      <c r="AC360" s="450">
        <v>0</v>
      </c>
    </row>
    <row r="361" spans="2:29" s="381" customFormat="1">
      <c r="B361" s="381" t="s">
        <v>99</v>
      </c>
      <c r="C361" s="381" t="s">
        <v>728</v>
      </c>
      <c r="D361" s="381" t="s">
        <v>761</v>
      </c>
      <c r="E361" s="381" t="s">
        <v>225</v>
      </c>
      <c r="F361" s="346">
        <v>0</v>
      </c>
      <c r="G361" s="346">
        <v>0</v>
      </c>
      <c r="H361" s="405">
        <f t="shared" si="29"/>
        <v>0</v>
      </c>
      <c r="I361" s="346">
        <v>0</v>
      </c>
      <c r="J361" s="346">
        <v>0</v>
      </c>
      <c r="P361" s="436"/>
      <c r="Q361" s="436" t="s">
        <v>80</v>
      </c>
      <c r="R361" s="436" t="s">
        <v>728</v>
      </c>
      <c r="S361" s="436" t="s">
        <v>793</v>
      </c>
      <c r="T361" s="436" t="s">
        <v>83</v>
      </c>
      <c r="U361" s="448">
        <f t="shared" si="30"/>
        <v>25680.25</v>
      </c>
      <c r="V361" s="449">
        <v>25680.25</v>
      </c>
      <c r="W361" s="450"/>
      <c r="X361" s="448">
        <f t="shared" si="31"/>
        <v>13590</v>
      </c>
      <c r="Y361" s="449">
        <f>6040+6040+1510</f>
        <v>13590</v>
      </c>
      <c r="Z361" s="450"/>
      <c r="AA361" s="448">
        <f t="shared" si="32"/>
        <v>7550</v>
      </c>
      <c r="AB361" s="449">
        <f>1510+6040</f>
        <v>7550</v>
      </c>
      <c r="AC361" s="450"/>
    </row>
    <row r="362" spans="2:29" s="381" customFormat="1">
      <c r="B362" s="381" t="s">
        <v>99</v>
      </c>
      <c r="C362" s="381" t="s">
        <v>728</v>
      </c>
      <c r="D362" s="381" t="s">
        <v>761</v>
      </c>
      <c r="E362" s="381" t="s">
        <v>109</v>
      </c>
      <c r="F362" s="346">
        <f>97170.4+16942.36</f>
        <v>114112.76</v>
      </c>
      <c r="G362" s="346">
        <f>'Лист11(225)'!G47</f>
        <v>281282.73</v>
      </c>
      <c r="H362" s="405">
        <f t="shared" si="29"/>
        <v>-167169.97</v>
      </c>
      <c r="I362" s="346">
        <f>'Лист11(225)'!K47</f>
        <v>281282.73</v>
      </c>
      <c r="J362" s="346">
        <f>'Лист11(225)'!O47</f>
        <v>281282.73</v>
      </c>
      <c r="P362" s="436"/>
      <c r="Q362" s="436" t="s">
        <v>80</v>
      </c>
      <c r="R362" s="436" t="s">
        <v>730</v>
      </c>
      <c r="S362" s="436" t="s">
        <v>793</v>
      </c>
      <c r="T362" s="436" t="s">
        <v>83</v>
      </c>
      <c r="U362" s="448">
        <f t="shared" si="30"/>
        <v>11313544.98</v>
      </c>
      <c r="V362" s="453">
        <f>12022937.09-2186461.68</f>
        <v>9836475.4100000001</v>
      </c>
      <c r="W362" s="450">
        <v>1477069.57</v>
      </c>
      <c r="X362" s="448">
        <f t="shared" si="31"/>
        <v>8840528.6400000006</v>
      </c>
      <c r="Y362" s="453">
        <f>12028573.96-4659478.02</f>
        <v>7369095.9400000004</v>
      </c>
      <c r="Z362" s="450">
        <v>1471432.7</v>
      </c>
      <c r="AA362" s="448">
        <f t="shared" si="32"/>
        <v>9535925.6400000006</v>
      </c>
      <c r="AB362" s="453">
        <f>12039319.63-3964081.02</f>
        <v>8075238.6100000003</v>
      </c>
      <c r="AC362" s="450">
        <v>1460687.03</v>
      </c>
    </row>
    <row r="363" spans="2:29">
      <c r="B363" s="44" t="s">
        <v>99</v>
      </c>
      <c r="C363" s="44" t="s">
        <v>728</v>
      </c>
      <c r="D363" s="44" t="s">
        <v>761</v>
      </c>
      <c r="E363" s="44" t="s">
        <v>77</v>
      </c>
      <c r="F363" s="54">
        <f>418590+17655.26+307932+7064.12+10097.36+622720+1383821.9+20622.76+36065.04+26220+2957.65+21477.14+257214.79</f>
        <v>3132438.02</v>
      </c>
      <c r="G363" s="54"/>
      <c r="H363" s="405">
        <f t="shared" si="29"/>
        <v>3132438.02</v>
      </c>
      <c r="I363" s="54"/>
      <c r="J363" s="54"/>
      <c r="P363" s="436"/>
      <c r="Q363" s="436" t="s">
        <v>80</v>
      </c>
      <c r="R363" s="436" t="s">
        <v>731</v>
      </c>
      <c r="S363" s="436" t="s">
        <v>793</v>
      </c>
      <c r="T363" s="436" t="s">
        <v>83</v>
      </c>
      <c r="U363" s="448">
        <f t="shared" si="30"/>
        <v>0</v>
      </c>
      <c r="V363" s="449">
        <v>0</v>
      </c>
      <c r="W363" s="450"/>
      <c r="X363" s="448">
        <f t="shared" si="31"/>
        <v>0</v>
      </c>
      <c r="Y363" s="449"/>
      <c r="Z363" s="450"/>
      <c r="AA363" s="448">
        <f t="shared" si="32"/>
        <v>0</v>
      </c>
      <c r="AB363" s="449"/>
      <c r="AC363" s="450"/>
    </row>
    <row r="364" spans="2:29">
      <c r="B364" s="44" t="s">
        <v>99</v>
      </c>
      <c r="C364" s="44" t="s">
        <v>728</v>
      </c>
      <c r="D364" s="44" t="s">
        <v>761</v>
      </c>
      <c r="E364" s="44">
        <v>349</v>
      </c>
      <c r="F364" s="54">
        <f>W384</f>
        <v>362549.12</v>
      </c>
      <c r="G364" s="54"/>
      <c r="H364" s="405">
        <f t="shared" si="29"/>
        <v>362549.12</v>
      </c>
      <c r="I364" s="54"/>
      <c r="J364" s="54"/>
      <c r="P364" s="436"/>
      <c r="Q364" s="436" t="s">
        <v>80</v>
      </c>
      <c r="R364" s="436" t="s">
        <v>732</v>
      </c>
      <c r="S364" s="436" t="s">
        <v>793</v>
      </c>
      <c r="T364" s="436" t="s">
        <v>83</v>
      </c>
      <c r="U364" s="448">
        <f t="shared" si="30"/>
        <v>0</v>
      </c>
      <c r="V364" s="449">
        <v>0</v>
      </c>
      <c r="W364" s="450"/>
      <c r="X364" s="448">
        <f t="shared" si="31"/>
        <v>0</v>
      </c>
      <c r="Y364" s="449"/>
      <c r="Z364" s="450"/>
      <c r="AA364" s="448">
        <f t="shared" si="32"/>
        <v>0</v>
      </c>
      <c r="AB364" s="449"/>
      <c r="AC364" s="450"/>
    </row>
    <row r="365" spans="2:29" s="381" customFormat="1">
      <c r="B365" s="381" t="s">
        <v>99</v>
      </c>
      <c r="C365" s="381" t="s">
        <v>728</v>
      </c>
      <c r="D365" s="381" t="s">
        <v>761</v>
      </c>
      <c r="E365" s="381" t="s">
        <v>111</v>
      </c>
      <c r="F365" s="346">
        <f>W376</f>
        <v>300000</v>
      </c>
      <c r="G365" s="346">
        <v>0</v>
      </c>
      <c r="H365" s="405">
        <f t="shared" si="29"/>
        <v>300000</v>
      </c>
      <c r="I365" s="346">
        <v>0</v>
      </c>
      <c r="J365" s="346">
        <v>0</v>
      </c>
      <c r="P365" s="436"/>
      <c r="Q365" s="436" t="s">
        <v>80</v>
      </c>
      <c r="R365" s="436" t="s">
        <v>728</v>
      </c>
      <c r="S365" s="436" t="s">
        <v>793</v>
      </c>
      <c r="T365" s="436" t="s">
        <v>69</v>
      </c>
      <c r="U365" s="448">
        <f t="shared" si="30"/>
        <v>94928.69</v>
      </c>
      <c r="V365" s="449">
        <v>94928.69</v>
      </c>
      <c r="W365" s="450"/>
      <c r="X365" s="448">
        <f t="shared" si="31"/>
        <v>40157.919999999998</v>
      </c>
      <c r="Y365" s="449">
        <f>6726.7+33431.22</f>
        <v>40157.919999999998</v>
      </c>
      <c r="Z365" s="450"/>
      <c r="AA365" s="448">
        <f t="shared" si="32"/>
        <v>0</v>
      </c>
      <c r="AB365" s="449"/>
      <c r="AC365" s="450"/>
    </row>
    <row r="366" spans="2:29" s="381" customFormat="1">
      <c r="B366" s="381" t="s">
        <v>99</v>
      </c>
      <c r="C366" s="381" t="s">
        <v>734</v>
      </c>
      <c r="D366" s="381" t="s">
        <v>761</v>
      </c>
      <c r="E366" s="381" t="s">
        <v>111</v>
      </c>
      <c r="F366" s="346">
        <v>0</v>
      </c>
      <c r="G366" s="346">
        <v>0</v>
      </c>
      <c r="H366" s="405">
        <f t="shared" si="29"/>
        <v>0</v>
      </c>
      <c r="I366" s="346">
        <v>0</v>
      </c>
      <c r="J366" s="346">
        <v>0</v>
      </c>
      <c r="P366" s="436"/>
      <c r="Q366" s="436" t="s">
        <v>99</v>
      </c>
      <c r="R366" s="436" t="s">
        <v>728</v>
      </c>
      <c r="S366" s="436" t="s">
        <v>793</v>
      </c>
      <c r="T366" s="436" t="s">
        <v>103</v>
      </c>
      <c r="U366" s="448">
        <f t="shared" si="30"/>
        <v>212942.38</v>
      </c>
      <c r="V366" s="449">
        <v>212942.38</v>
      </c>
      <c r="W366" s="450">
        <v>0</v>
      </c>
      <c r="X366" s="448">
        <f t="shared" si="31"/>
        <v>218702.4</v>
      </c>
      <c r="Y366" s="449">
        <v>218702.4</v>
      </c>
      <c r="Z366" s="450">
        <v>0</v>
      </c>
      <c r="AA366" s="448">
        <f t="shared" si="32"/>
        <v>225038.4</v>
      </c>
      <c r="AB366" s="449">
        <v>225038.4</v>
      </c>
      <c r="AC366" s="450">
        <v>0</v>
      </c>
    </row>
    <row r="367" spans="2:29" s="381" customFormat="1">
      <c r="B367" s="381" t="s">
        <v>99</v>
      </c>
      <c r="C367" s="381" t="s">
        <v>734</v>
      </c>
      <c r="D367" s="381" t="s">
        <v>761</v>
      </c>
      <c r="E367" s="381" t="s">
        <v>111</v>
      </c>
      <c r="F367" s="346">
        <v>0</v>
      </c>
      <c r="G367" s="346">
        <v>0</v>
      </c>
      <c r="H367" s="405">
        <f t="shared" si="29"/>
        <v>0</v>
      </c>
      <c r="I367" s="346">
        <v>0</v>
      </c>
      <c r="J367" s="346">
        <v>0</v>
      </c>
      <c r="P367" s="436"/>
      <c r="Q367" s="436" t="s">
        <v>99</v>
      </c>
      <c r="R367" s="436" t="s">
        <v>728</v>
      </c>
      <c r="S367" s="436" t="s">
        <v>793</v>
      </c>
      <c r="T367" s="436" t="s">
        <v>105</v>
      </c>
      <c r="U367" s="448">
        <f t="shared" si="30"/>
        <v>407945.02</v>
      </c>
      <c r="V367" s="449">
        <v>241309.55</v>
      </c>
      <c r="W367" s="450">
        <v>166635.47</v>
      </c>
      <c r="X367" s="448">
        <f t="shared" si="31"/>
        <v>407945.02</v>
      </c>
      <c r="Y367" s="449">
        <f>72167.86+111407.4</f>
        <v>183575.26</v>
      </c>
      <c r="Z367" s="450">
        <f>136164.6+88205.16</f>
        <v>224369.76</v>
      </c>
      <c r="AA367" s="448">
        <f t="shared" si="32"/>
        <v>407945.02</v>
      </c>
      <c r="AB367" s="449">
        <f>111407.4+72167.86</f>
        <v>183575.26</v>
      </c>
      <c r="AC367" s="450">
        <f>136164.6+88205.16</f>
        <v>224369.76</v>
      </c>
    </row>
    <row r="368" spans="2:29" s="381" customFormat="1">
      <c r="B368" s="381" t="s">
        <v>99</v>
      </c>
      <c r="C368" s="381" t="s">
        <v>728</v>
      </c>
      <c r="D368" s="381" t="s">
        <v>761</v>
      </c>
      <c r="E368" s="409">
        <v>342</v>
      </c>
      <c r="F368" s="346">
        <v>51570</v>
      </c>
      <c r="G368" s="346">
        <f>G281</f>
        <v>51570</v>
      </c>
      <c r="H368" s="405">
        <f t="shared" si="29"/>
        <v>0</v>
      </c>
      <c r="I368" s="346">
        <f>J281</f>
        <v>51570</v>
      </c>
      <c r="J368" s="346">
        <f>M281</f>
        <v>51570</v>
      </c>
      <c r="P368" s="436"/>
      <c r="Q368" s="436" t="s">
        <v>99</v>
      </c>
      <c r="R368" s="436" t="s">
        <v>728</v>
      </c>
      <c r="S368" s="436" t="s">
        <v>793</v>
      </c>
      <c r="T368" s="436" t="s">
        <v>107</v>
      </c>
      <c r="U368" s="454">
        <f t="shared" si="30"/>
        <v>920264</v>
      </c>
      <c r="V368" s="451">
        <f>506011.26+295558.74</f>
        <v>801570</v>
      </c>
      <c r="W368" s="450">
        <v>118694</v>
      </c>
      <c r="X368" s="454">
        <f t="shared" si="31"/>
        <v>931405.93</v>
      </c>
      <c r="Y368" s="451">
        <f>486626.07+30527.12+293206.68-261.48</f>
        <v>810098.39</v>
      </c>
      <c r="Z368" s="450">
        <f>114146.86+7160.68</f>
        <v>121307.54</v>
      </c>
      <c r="AA368" s="454">
        <f t="shared" si="32"/>
        <v>944903.85</v>
      </c>
      <c r="AB368" s="451">
        <f>500123.99+30527.12+289779.03</f>
        <v>820430.14</v>
      </c>
      <c r="AC368" s="450">
        <f>117313.03+7160.68</f>
        <v>124473.71</v>
      </c>
    </row>
    <row r="369" spans="2:29">
      <c r="B369" s="381" t="s">
        <v>99</v>
      </c>
      <c r="C369" s="381" t="s">
        <v>728</v>
      </c>
      <c r="D369" s="381" t="s">
        <v>761</v>
      </c>
      <c r="E369" s="381" t="s">
        <v>114</v>
      </c>
      <c r="F369" s="346">
        <v>6171.52</v>
      </c>
      <c r="G369" s="346">
        <f>G275</f>
        <v>17864.91</v>
      </c>
      <c r="H369" s="405">
        <f t="shared" si="29"/>
        <v>-11693.39</v>
      </c>
      <c r="I369" s="346">
        <f>J275</f>
        <v>20977.18</v>
      </c>
      <c r="J369" s="346">
        <f>M275</f>
        <v>20789.150000000001</v>
      </c>
      <c r="P369" s="436"/>
      <c r="Q369" s="436" t="s">
        <v>99</v>
      </c>
      <c r="R369" s="436" t="s">
        <v>728</v>
      </c>
      <c r="S369" s="436" t="s">
        <v>793</v>
      </c>
      <c r="T369" s="436" t="s">
        <v>225</v>
      </c>
      <c r="U369" s="448">
        <f t="shared" si="30"/>
        <v>12428476.800000001</v>
      </c>
      <c r="V369" s="449">
        <v>12428476.800000001</v>
      </c>
      <c r="W369" s="450"/>
      <c r="X369" s="448">
        <f t="shared" si="31"/>
        <v>12428476.800000001</v>
      </c>
      <c r="Y369" s="449">
        <v>12428476.800000001</v>
      </c>
      <c r="Z369" s="450">
        <v>0</v>
      </c>
      <c r="AA369" s="448">
        <f t="shared" si="32"/>
        <v>4721038.38</v>
      </c>
      <c r="AB369" s="449">
        <v>4721038.38</v>
      </c>
      <c r="AC369" s="450">
        <v>0</v>
      </c>
    </row>
    <row r="370" spans="2:29" s="381" customFormat="1">
      <c r="B370" s="381" t="s">
        <v>99</v>
      </c>
      <c r="C370" s="381" t="s">
        <v>728</v>
      </c>
      <c r="D370" s="381" t="s">
        <v>761</v>
      </c>
      <c r="E370" s="381" t="s">
        <v>115</v>
      </c>
      <c r="F370" s="346">
        <f>W379</f>
        <v>537923.11</v>
      </c>
      <c r="G370" s="346">
        <f>G272+G273+G274+G276+G277+G278</f>
        <v>758034.1</v>
      </c>
      <c r="H370" s="405">
        <f t="shared" si="29"/>
        <v>-220110.99</v>
      </c>
      <c r="I370" s="346">
        <f>J272+J273+J274+J276+J277+J278</f>
        <v>758034.1</v>
      </c>
      <c r="J370" s="346">
        <f>M272+M273+M274+M276+M277+M278</f>
        <v>758034.1</v>
      </c>
      <c r="P370" s="436"/>
      <c r="Q370" s="436" t="s">
        <v>99</v>
      </c>
      <c r="R370" s="436" t="s">
        <v>728</v>
      </c>
      <c r="S370" s="436" t="s">
        <v>793</v>
      </c>
      <c r="T370" s="436" t="s">
        <v>109</v>
      </c>
      <c r="U370" s="448">
        <f t="shared" si="30"/>
        <v>600593.46</v>
      </c>
      <c r="V370" s="449">
        <v>486480.7</v>
      </c>
      <c r="W370" s="450">
        <v>114112.76</v>
      </c>
      <c r="X370" s="448">
        <f t="shared" si="31"/>
        <v>513343.46</v>
      </c>
      <c r="Y370" s="451">
        <f>414252.74+10327.5+72227.96-100000</f>
        <v>396808.2</v>
      </c>
      <c r="Z370" s="450">
        <f>97170.4+2422.5+16942.36</f>
        <v>116535.26</v>
      </c>
      <c r="AA370" s="448">
        <f t="shared" si="32"/>
        <v>516301.48</v>
      </c>
      <c r="AB370" s="451">
        <f>605.9+12117.6+72227.96+414252.74-100000</f>
        <v>399204.2</v>
      </c>
      <c r="AC370" s="450">
        <f>142.12+2842.4+16942.36+97170.4</f>
        <v>117097.28</v>
      </c>
    </row>
    <row r="371" spans="2:29">
      <c r="B371" s="44" t="s">
        <v>99</v>
      </c>
      <c r="C371" s="44" t="s">
        <v>733</v>
      </c>
      <c r="D371" s="44" t="s">
        <v>761</v>
      </c>
      <c r="E371" s="44" t="s">
        <v>115</v>
      </c>
      <c r="F371" s="54">
        <v>0</v>
      </c>
      <c r="G371" s="54">
        <v>0</v>
      </c>
      <c r="H371" s="405">
        <f t="shared" si="29"/>
        <v>0</v>
      </c>
      <c r="I371" s="54"/>
      <c r="J371" s="54"/>
      <c r="P371" s="436"/>
      <c r="Q371" s="436" t="s">
        <v>99</v>
      </c>
      <c r="R371" s="436" t="s">
        <v>728</v>
      </c>
      <c r="S371" s="436" t="s">
        <v>793</v>
      </c>
      <c r="T371" s="436" t="s">
        <v>77</v>
      </c>
      <c r="U371" s="448">
        <f t="shared" si="30"/>
        <v>4759765.8600000003</v>
      </c>
      <c r="V371" s="449">
        <v>1627327.84</v>
      </c>
      <c r="W371" s="450">
        <v>3132438.02</v>
      </c>
      <c r="X371" s="448">
        <f t="shared" si="31"/>
        <v>4042779.12</v>
      </c>
      <c r="Y371" s="449">
        <f>508187.52+91560.46+13175.95+111780+153750.96+94951.57+43046.64+30115.48</f>
        <v>1046568.58</v>
      </c>
      <c r="Z371" s="450">
        <f>119204.48+21477.14+3090.65+26220+36065.04+22272.59+1383821.9+622720+10097.36+7064.12+307932+17655.26+418590</f>
        <v>2996210.54</v>
      </c>
      <c r="AA371" s="448">
        <f>AB371+AC371</f>
        <v>3963038.16</v>
      </c>
      <c r="AB371" s="451">
        <f>30115.48+43046.64+102547.75+153750.96+111780+13527+91560.46+508187.52-89552.36</f>
        <v>964963.45</v>
      </c>
      <c r="AC371" s="450">
        <v>2998074.71</v>
      </c>
    </row>
    <row r="372" spans="2:29" s="381" customFormat="1">
      <c r="B372" s="381" t="s">
        <v>93</v>
      </c>
      <c r="C372" s="381" t="s">
        <v>728</v>
      </c>
      <c r="D372" s="381" t="s">
        <v>761</v>
      </c>
      <c r="E372" s="381" t="s">
        <v>94</v>
      </c>
      <c r="F372" s="346">
        <v>6460.4</v>
      </c>
      <c r="G372" s="346" t="e">
        <f>#REF!</f>
        <v>#REF!</v>
      </c>
      <c r="H372" s="405" t="e">
        <f t="shared" si="29"/>
        <v>#REF!</v>
      </c>
      <c r="I372" s="346" t="e">
        <f>#REF!</f>
        <v>#REF!</v>
      </c>
      <c r="J372" s="346" t="e">
        <f>#REF!</f>
        <v>#REF!</v>
      </c>
      <c r="P372" s="436"/>
      <c r="Q372" s="436" t="s">
        <v>99</v>
      </c>
      <c r="R372" s="436" t="s">
        <v>733</v>
      </c>
      <c r="S372" s="436" t="s">
        <v>793</v>
      </c>
      <c r="T372" s="436" t="s">
        <v>77</v>
      </c>
      <c r="U372" s="448">
        <f t="shared" si="30"/>
        <v>2175316.06</v>
      </c>
      <c r="V372" s="449">
        <v>2175316.06</v>
      </c>
      <c r="W372" s="450"/>
      <c r="X372" s="448">
        <f t="shared" si="31"/>
        <v>2168787.38</v>
      </c>
      <c r="Y372" s="449">
        <v>2168787.38</v>
      </c>
      <c r="Z372" s="450"/>
      <c r="AA372" s="448">
        <f t="shared" ref="AA372:AA384" si="33">AB372+AC372</f>
        <v>2294502.7799999998</v>
      </c>
      <c r="AB372" s="449">
        <v>2294502.7799999998</v>
      </c>
      <c r="AC372" s="450">
        <v>0</v>
      </c>
    </row>
    <row r="373" spans="2:29" s="381" customFormat="1">
      <c r="E373" s="381">
        <v>295</v>
      </c>
      <c r="F373" s="346">
        <f>W382</f>
        <v>588824.12</v>
      </c>
      <c r="G373" s="346"/>
      <c r="H373" s="405"/>
      <c r="I373" s="346"/>
      <c r="J373" s="346"/>
      <c r="P373" s="436"/>
      <c r="Q373" s="436"/>
      <c r="R373" s="436"/>
      <c r="S373" s="436"/>
      <c r="T373" s="436"/>
      <c r="U373" s="448"/>
      <c r="V373" s="449"/>
      <c r="W373" s="450"/>
      <c r="X373" s="448"/>
      <c r="Y373" s="449"/>
      <c r="Z373" s="450"/>
      <c r="AA373" s="448"/>
      <c r="AB373" s="449"/>
      <c r="AC373" s="450"/>
    </row>
    <row r="374" spans="2:29">
      <c r="F374" s="54">
        <f>SUM(F345:F373)</f>
        <v>11490000</v>
      </c>
      <c r="G374" s="54"/>
      <c r="H374" s="405">
        <f t="shared" si="29"/>
        <v>11490000</v>
      </c>
      <c r="I374" s="54"/>
      <c r="J374" s="54"/>
      <c r="P374" s="436"/>
      <c r="Q374" s="436" t="s">
        <v>99</v>
      </c>
      <c r="R374" s="436" t="s">
        <v>734</v>
      </c>
      <c r="S374" s="436" t="s">
        <v>793</v>
      </c>
      <c r="T374" s="436">
        <v>226</v>
      </c>
      <c r="U374" s="448">
        <f t="shared" si="30"/>
        <v>657987.48</v>
      </c>
      <c r="V374" s="449">
        <v>657987.48</v>
      </c>
      <c r="W374" s="450"/>
      <c r="X374" s="448">
        <f t="shared" si="31"/>
        <v>0</v>
      </c>
      <c r="Y374" s="449"/>
      <c r="Z374" s="450"/>
      <c r="AA374" s="448">
        <f t="shared" si="33"/>
        <v>0</v>
      </c>
      <c r="AB374" s="449"/>
      <c r="AC374" s="450"/>
    </row>
    <row r="375" spans="2:29">
      <c r="F375" s="54">
        <v>11490000</v>
      </c>
      <c r="G375" s="54" t="e">
        <f>G370+G334</f>
        <v>#REF!</v>
      </c>
      <c r="H375" s="405" t="e">
        <f>H370+H334</f>
        <v>#REF!</v>
      </c>
      <c r="I375" s="54" t="e">
        <f>I370+I334</f>
        <v>#REF!</v>
      </c>
      <c r="J375" s="54" t="e">
        <f>J370+J334</f>
        <v>#REF!</v>
      </c>
      <c r="P375" s="436" t="s">
        <v>766</v>
      </c>
      <c r="Q375" s="436" t="s">
        <v>99</v>
      </c>
      <c r="R375" s="436" t="s">
        <v>734</v>
      </c>
      <c r="S375" s="436" t="s">
        <v>735</v>
      </c>
      <c r="T375" s="436">
        <v>226</v>
      </c>
      <c r="U375" s="448">
        <f t="shared" si="30"/>
        <v>34630.9</v>
      </c>
      <c r="V375" s="449">
        <v>34630.9</v>
      </c>
      <c r="W375" s="450"/>
      <c r="X375" s="448">
        <f t="shared" si="31"/>
        <v>0</v>
      </c>
      <c r="Y375" s="449"/>
      <c r="Z375" s="450"/>
      <c r="AA375" s="448">
        <f t="shared" si="33"/>
        <v>0</v>
      </c>
      <c r="AB375" s="449"/>
      <c r="AC375" s="450"/>
    </row>
    <row r="376" spans="2:29" s="180" customFormat="1">
      <c r="F376" s="54"/>
      <c r="G376" s="54"/>
      <c r="H376" s="452"/>
      <c r="I376" s="54"/>
      <c r="J376" s="54"/>
      <c r="P376" s="436"/>
      <c r="Q376" s="436"/>
      <c r="R376" s="436"/>
      <c r="S376" s="436"/>
      <c r="T376" s="436">
        <v>310</v>
      </c>
      <c r="U376" s="448"/>
      <c r="V376" s="449"/>
      <c r="W376" s="408">
        <f>200000+100000</f>
        <v>300000</v>
      </c>
      <c r="X376" s="448"/>
      <c r="Y376" s="449"/>
      <c r="Z376" s="408">
        <v>200000</v>
      </c>
      <c r="AA376" s="448"/>
      <c r="AB376" s="449"/>
      <c r="AC376" s="408">
        <v>200000</v>
      </c>
    </row>
    <row r="377" spans="2:29">
      <c r="F377" s="54">
        <f>F374-F375</f>
        <v>0</v>
      </c>
      <c r="P377" s="436" t="s">
        <v>766</v>
      </c>
      <c r="Q377" s="436" t="s">
        <v>99</v>
      </c>
      <c r="R377" s="436" t="s">
        <v>734</v>
      </c>
      <c r="S377" s="436" t="s">
        <v>735</v>
      </c>
      <c r="T377" s="436">
        <v>346</v>
      </c>
      <c r="U377" s="448">
        <f t="shared" si="30"/>
        <v>188960.57</v>
      </c>
      <c r="V377" s="449">
        <v>188960.57</v>
      </c>
      <c r="W377" s="450"/>
      <c r="X377" s="448">
        <f t="shared" si="31"/>
        <v>0</v>
      </c>
      <c r="Y377" s="449"/>
      <c r="Z377" s="450"/>
      <c r="AA377" s="448">
        <f t="shared" si="33"/>
        <v>0</v>
      </c>
      <c r="AB377" s="449"/>
      <c r="AC377" s="450"/>
    </row>
    <row r="378" spans="2:29">
      <c r="G378" s="54"/>
      <c r="H378" s="54"/>
      <c r="I378" s="54"/>
      <c r="J378" s="54"/>
      <c r="K378" s="54"/>
      <c r="P378" s="436" t="s">
        <v>795</v>
      </c>
      <c r="Q378" s="436" t="s">
        <v>99</v>
      </c>
      <c r="R378" s="499" t="s">
        <v>794</v>
      </c>
      <c r="S378" s="436" t="s">
        <v>793</v>
      </c>
      <c r="T378" s="436" t="s">
        <v>114</v>
      </c>
      <c r="U378" s="448">
        <f t="shared" si="30"/>
        <v>32481.66</v>
      </c>
      <c r="V378" s="449">
        <v>26310.14</v>
      </c>
      <c r="W378" s="450">
        <v>6171.52</v>
      </c>
      <c r="X378" s="448">
        <f t="shared" si="31"/>
        <v>38140.339999999997</v>
      </c>
      <c r="Y378" s="449">
        <v>30893.68</v>
      </c>
      <c r="Z378" s="450">
        <v>7246.66</v>
      </c>
      <c r="AA378" s="448">
        <f t="shared" si="33"/>
        <v>37798.449999999997</v>
      </c>
      <c r="AB378" s="449">
        <v>30616.73</v>
      </c>
      <c r="AC378" s="450">
        <v>7181.72</v>
      </c>
    </row>
    <row r="379" spans="2:29">
      <c r="P379" s="436"/>
      <c r="Q379" s="436" t="s">
        <v>99</v>
      </c>
      <c r="R379" s="436" t="s">
        <v>728</v>
      </c>
      <c r="S379" s="436" t="s">
        <v>793</v>
      </c>
      <c r="T379" s="436" t="s">
        <v>115</v>
      </c>
      <c r="U379" s="448">
        <f t="shared" si="30"/>
        <v>725361.42</v>
      </c>
      <c r="V379" s="449">
        <v>187438.31</v>
      </c>
      <c r="W379" s="408">
        <f>737923.11-200000</f>
        <v>537923.11</v>
      </c>
      <c r="X379" s="448">
        <f t="shared" si="31"/>
        <v>578458.75</v>
      </c>
      <c r="Y379" s="451">
        <f>187438.31-100000+0.01</f>
        <v>87438.32</v>
      </c>
      <c r="Z379" s="450">
        <f>43967.01+80867.29+50013.29+286260.94+29911.9</f>
        <v>491020.43</v>
      </c>
      <c r="AA379" s="448">
        <f t="shared" si="33"/>
        <v>578458.74</v>
      </c>
      <c r="AB379" s="451">
        <f>187438.31-100000</f>
        <v>87438.31</v>
      </c>
      <c r="AC379" s="450">
        <f>43967.01+80867.29+50013.29+286260.94+29911.9</f>
        <v>491020.43</v>
      </c>
    </row>
    <row r="380" spans="2:29">
      <c r="P380" s="436"/>
      <c r="Q380" s="436" t="s">
        <v>99</v>
      </c>
      <c r="R380" s="436" t="s">
        <v>733</v>
      </c>
      <c r="S380" s="436" t="s">
        <v>793</v>
      </c>
      <c r="T380" s="436" t="s">
        <v>115</v>
      </c>
      <c r="U380" s="448">
        <f t="shared" si="30"/>
        <v>460603.27</v>
      </c>
      <c r="V380" s="449">
        <v>460603.27</v>
      </c>
      <c r="W380" s="450">
        <v>0</v>
      </c>
      <c r="X380" s="448">
        <f t="shared" si="31"/>
        <v>477131.95</v>
      </c>
      <c r="Y380" s="452">
        <f>467131.95+10000</f>
        <v>477131.95</v>
      </c>
      <c r="Z380" s="450"/>
      <c r="AA380" s="448">
        <f t="shared" si="33"/>
        <v>341416.55</v>
      </c>
      <c r="AB380" s="449">
        <v>341416.55</v>
      </c>
      <c r="AC380" s="450">
        <v>0</v>
      </c>
    </row>
    <row r="381" spans="2:29">
      <c r="P381" s="436"/>
      <c r="Q381" s="436" t="s">
        <v>93</v>
      </c>
      <c r="R381" s="436" t="s">
        <v>728</v>
      </c>
      <c r="S381" s="436" t="s">
        <v>793</v>
      </c>
      <c r="T381" s="436" t="s">
        <v>94</v>
      </c>
      <c r="U381" s="448">
        <f>V381+W381</f>
        <v>56526.33</v>
      </c>
      <c r="V381" s="453">
        <f>60988.31-10922.38</f>
        <v>50065.93</v>
      </c>
      <c r="W381" s="450">
        <v>6460.4</v>
      </c>
      <c r="X381" s="448">
        <f t="shared" si="31"/>
        <v>43633.54</v>
      </c>
      <c r="Y381" s="453">
        <f>60988.31-23815.17</f>
        <v>37173.14</v>
      </c>
      <c r="Z381" s="450">
        <v>6460.4</v>
      </c>
      <c r="AA381" s="448">
        <f t="shared" si="33"/>
        <v>47143.18</v>
      </c>
      <c r="AB381" s="453">
        <f>60988.31-20305.53</f>
        <v>40682.78</v>
      </c>
      <c r="AC381" s="450">
        <v>6460.4</v>
      </c>
    </row>
    <row r="382" spans="2:29" s="180" customFormat="1">
      <c r="P382" s="436"/>
      <c r="Q382" s="436"/>
      <c r="R382" s="436"/>
      <c r="S382" s="436"/>
      <c r="T382" s="436">
        <v>295</v>
      </c>
      <c r="U382" s="448">
        <f t="shared" si="30"/>
        <v>588824.12</v>
      </c>
      <c r="V382" s="451"/>
      <c r="W382" s="450">
        <v>588824.12</v>
      </c>
      <c r="X382" s="448">
        <f t="shared" si="31"/>
        <v>0</v>
      </c>
      <c r="Y382" s="451"/>
      <c r="Z382" s="450">
        <v>0</v>
      </c>
      <c r="AA382" s="448">
        <f t="shared" si="33"/>
        <v>0</v>
      </c>
      <c r="AB382" s="451"/>
      <c r="AC382" s="450">
        <v>0</v>
      </c>
    </row>
    <row r="383" spans="2:29">
      <c r="P383" s="436"/>
      <c r="Q383" s="436">
        <v>244</v>
      </c>
      <c r="R383" s="436"/>
      <c r="S383" s="436"/>
      <c r="T383" s="436">
        <v>342</v>
      </c>
      <c r="U383" s="448">
        <f t="shared" si="30"/>
        <v>51570</v>
      </c>
      <c r="V383" s="449"/>
      <c r="W383" s="450">
        <v>51570</v>
      </c>
      <c r="X383" s="448">
        <f t="shared" si="31"/>
        <v>51570</v>
      </c>
      <c r="Y383" s="449">
        <v>0</v>
      </c>
      <c r="Z383" s="450">
        <v>51570</v>
      </c>
      <c r="AA383" s="448">
        <f t="shared" si="33"/>
        <v>51570</v>
      </c>
      <c r="AB383" s="449"/>
      <c r="AC383" s="450">
        <v>51570</v>
      </c>
    </row>
    <row r="384" spans="2:29">
      <c r="P384" s="436"/>
      <c r="Q384" s="436">
        <v>244</v>
      </c>
      <c r="R384" s="436"/>
      <c r="S384" s="436"/>
      <c r="T384" s="436">
        <v>349</v>
      </c>
      <c r="U384" s="448">
        <f t="shared" si="30"/>
        <v>362549.12</v>
      </c>
      <c r="V384" s="449"/>
      <c r="W384" s="408">
        <f>1051373.24-588824.12-100000</f>
        <v>362549.12</v>
      </c>
      <c r="X384" s="448">
        <f t="shared" si="31"/>
        <v>851373.24</v>
      </c>
      <c r="Y384" s="449">
        <v>0</v>
      </c>
      <c r="Z384" s="408">
        <f>151800+899573.24-200000</f>
        <v>851373.24</v>
      </c>
      <c r="AA384" s="448">
        <f t="shared" si="33"/>
        <v>851373.24</v>
      </c>
      <c r="AB384" s="449"/>
      <c r="AC384" s="408">
        <f>151800+899573.24-200000</f>
        <v>851373.24</v>
      </c>
    </row>
    <row r="385" spans="16:29">
      <c r="P385" s="436"/>
      <c r="Q385" s="436"/>
      <c r="R385" s="436"/>
      <c r="S385" s="436"/>
      <c r="T385" s="436"/>
      <c r="U385" s="448">
        <f t="shared" si="30"/>
        <v>0</v>
      </c>
      <c r="V385" s="449"/>
      <c r="W385" s="520">
        <v>0</v>
      </c>
      <c r="X385" s="448">
        <f t="shared" si="31"/>
        <v>0</v>
      </c>
      <c r="Y385" s="449"/>
      <c r="Z385" s="450"/>
      <c r="AA385" s="448"/>
      <c r="AB385" s="449"/>
      <c r="AC385" s="450"/>
    </row>
    <row r="386" spans="16:29">
      <c r="P386" s="180"/>
      <c r="Q386" s="180"/>
      <c r="R386" s="180"/>
      <c r="S386" s="180"/>
      <c r="T386" s="180"/>
      <c r="U386" s="445">
        <f>SUM(U353:U385)</f>
        <v>75577404.700000003</v>
      </c>
      <c r="V386" s="445">
        <f>SUM(V353:V385)-V374-V375-V377+U393+V393+U394+V394+U395+V395</f>
        <v>64387404.700000003</v>
      </c>
      <c r="W386" s="445">
        <f t="shared" ref="W386:AC386" si="34">SUM(W353:W385)</f>
        <v>11490000</v>
      </c>
      <c r="X386" s="446">
        <f t="shared" si="34"/>
        <v>62476502.950000003</v>
      </c>
      <c r="Y386" s="447">
        <f t="shared" si="34"/>
        <v>51186502.950000003</v>
      </c>
      <c r="Z386" s="445">
        <f t="shared" si="34"/>
        <v>11490000</v>
      </c>
      <c r="AA386" s="446">
        <f t="shared" si="34"/>
        <v>57639751.079999998</v>
      </c>
      <c r="AB386" s="447">
        <f t="shared" si="34"/>
        <v>46349751.079999998</v>
      </c>
      <c r="AC386" s="445">
        <f t="shared" si="34"/>
        <v>11490000</v>
      </c>
    </row>
    <row r="387" spans="16:29">
      <c r="P387" s="180"/>
      <c r="Q387" s="180"/>
      <c r="R387" s="180"/>
      <c r="S387" s="180"/>
      <c r="T387" s="180"/>
      <c r="V387" s="54">
        <v>64387404.700000003</v>
      </c>
      <c r="W387" s="54">
        <v>11490000</v>
      </c>
      <c r="X387" s="180"/>
      <c r="Y387" s="54">
        <v>51186502.950000003</v>
      </c>
      <c r="Z387" s="54">
        <v>11490000</v>
      </c>
      <c r="AA387" s="54"/>
      <c r="AB387" s="54">
        <v>46349751.079999998</v>
      </c>
      <c r="AC387" s="54">
        <v>11490000</v>
      </c>
    </row>
    <row r="388" spans="16:29">
      <c r="V388" s="54">
        <f>V387-V386</f>
        <v>0</v>
      </c>
      <c r="W388" s="54">
        <f>W387-W386</f>
        <v>0</v>
      </c>
      <c r="Y388" s="54">
        <f>Y387-Y386</f>
        <v>0</v>
      </c>
      <c r="Z388" s="54">
        <f>Z387-Z386</f>
        <v>0</v>
      </c>
      <c r="AA388" s="54"/>
      <c r="AB388" s="54">
        <f>AB387-AB386</f>
        <v>0</v>
      </c>
      <c r="AC388" s="54">
        <f>AC387-AC386</f>
        <v>0</v>
      </c>
    </row>
    <row r="392" spans="16:29">
      <c r="U392" s="180">
        <v>226</v>
      </c>
      <c r="V392" s="44">
        <v>346</v>
      </c>
    </row>
    <row r="393" spans="16:29">
      <c r="Q393" s="44" t="s">
        <v>99</v>
      </c>
      <c r="R393" s="44" t="s">
        <v>734</v>
      </c>
      <c r="S393" s="44" t="s">
        <v>793</v>
      </c>
      <c r="U393" s="54">
        <v>34630.9</v>
      </c>
      <c r="V393" s="54">
        <v>9448.0499999999993</v>
      </c>
    </row>
    <row r="394" spans="16:29">
      <c r="P394" s="44" t="s">
        <v>766</v>
      </c>
      <c r="Q394" s="44" t="s">
        <v>99</v>
      </c>
      <c r="R394" s="44" t="s">
        <v>734</v>
      </c>
      <c r="S394" s="44" t="s">
        <v>735</v>
      </c>
      <c r="U394" s="54">
        <v>361868.12</v>
      </c>
      <c r="V394" s="54">
        <v>98731.88</v>
      </c>
    </row>
    <row r="395" spans="16:29">
      <c r="P395" s="44" t="s">
        <v>796</v>
      </c>
      <c r="Q395" s="44" t="s">
        <v>99</v>
      </c>
      <c r="R395" s="44" t="s">
        <v>734</v>
      </c>
      <c r="S395" s="44">
        <v>30015204</v>
      </c>
      <c r="U395" s="54">
        <v>296119.36</v>
      </c>
      <c r="V395" s="54">
        <v>80780.639999999999</v>
      </c>
    </row>
    <row r="396" spans="16:29">
      <c r="U396" s="54">
        <f>SUM(U393:U395)</f>
        <v>692618.38</v>
      </c>
      <c r="V396" s="54">
        <f>SUM(V393:V395)</f>
        <v>188960.57</v>
      </c>
      <c r="W396" s="54">
        <f>SUM(U396:V396)</f>
        <v>881578.95</v>
      </c>
    </row>
    <row r="400" spans="16:29">
      <c r="T400" s="44">
        <v>244</v>
      </c>
      <c r="U400" s="54">
        <f>V400+W400</f>
        <v>24019448</v>
      </c>
      <c r="V400" s="54">
        <f t="shared" ref="V400:AC400" si="35">V366+V367+V368+V369+V370+V371+V372+V378+V379+V380+V374+V375+V377+V383+V384</f>
        <v>19529354</v>
      </c>
      <c r="W400" s="54">
        <f t="shared" si="35"/>
        <v>4490094</v>
      </c>
      <c r="X400" s="54">
        <f t="shared" si="35"/>
        <v>22708114.390000001</v>
      </c>
      <c r="Y400" s="54">
        <f t="shared" si="35"/>
        <v>17848480.960000001</v>
      </c>
      <c r="Z400" s="54">
        <f t="shared" si="35"/>
        <v>4859633.43</v>
      </c>
      <c r="AA400" s="54">
        <f t="shared" si="35"/>
        <v>14933385.050000001</v>
      </c>
      <c r="AB400" s="54">
        <f t="shared" si="35"/>
        <v>10068224.199999999</v>
      </c>
      <c r="AC400" s="54">
        <f t="shared" si="35"/>
        <v>4865160.8499999996</v>
      </c>
    </row>
  </sheetData>
  <mergeCells count="312">
    <mergeCell ref="R349:AC351"/>
    <mergeCell ref="U352:W352"/>
    <mergeCell ref="X352:Z352"/>
    <mergeCell ref="AA352:AC352"/>
    <mergeCell ref="G316:G318"/>
    <mergeCell ref="H316:H318"/>
    <mergeCell ref="E95:G95"/>
    <mergeCell ref="H95:J95"/>
    <mergeCell ref="K95:M95"/>
    <mergeCell ref="H132:H133"/>
    <mergeCell ref="J132:J133"/>
    <mergeCell ref="K132:K133"/>
    <mergeCell ref="M132:M133"/>
    <mergeCell ref="U306:W306"/>
    <mergeCell ref="X306:Z306"/>
    <mergeCell ref="AA306:AC306"/>
    <mergeCell ref="B286:F287"/>
    <mergeCell ref="G286:I286"/>
    <mergeCell ref="B288:F288"/>
    <mergeCell ref="B289:F289"/>
    <mergeCell ref="B290:F290"/>
    <mergeCell ref="B291:F291"/>
    <mergeCell ref="R303:AC305"/>
    <mergeCell ref="B95:B96"/>
    <mergeCell ref="C95:C96"/>
    <mergeCell ref="D95:D96"/>
    <mergeCell ref="B122:B124"/>
    <mergeCell ref="C122:C124"/>
    <mergeCell ref="D122:D124"/>
    <mergeCell ref="E122:G122"/>
    <mergeCell ref="H122:J122"/>
    <mergeCell ref="K122:M122"/>
    <mergeCell ref="E123:E124"/>
    <mergeCell ref="F123:F124"/>
    <mergeCell ref="G123:G124"/>
    <mergeCell ref="H123:H124"/>
    <mergeCell ref="J123:J124"/>
    <mergeCell ref="K123:K124"/>
    <mergeCell ref="M123:M124"/>
    <mergeCell ref="B131:B133"/>
    <mergeCell ref="B86:B88"/>
    <mergeCell ref="C86:C88"/>
    <mergeCell ref="D86:D88"/>
    <mergeCell ref="E86:G86"/>
    <mergeCell ref="H86:J86"/>
    <mergeCell ref="K86:M86"/>
    <mergeCell ref="E87:E88"/>
    <mergeCell ref="F87:F88"/>
    <mergeCell ref="G87:G88"/>
    <mergeCell ref="H87:H88"/>
    <mergeCell ref="I87:I88"/>
    <mergeCell ref="J87:J88"/>
    <mergeCell ref="K87:K88"/>
    <mergeCell ref="L87:L88"/>
    <mergeCell ref="M87:M88"/>
    <mergeCell ref="C131:C133"/>
    <mergeCell ref="D131:D133"/>
    <mergeCell ref="E131:G131"/>
    <mergeCell ref="H131:J131"/>
    <mergeCell ref="K131:M131"/>
    <mergeCell ref="E132:E133"/>
    <mergeCell ref="F132:F133"/>
    <mergeCell ref="G132:G133"/>
    <mergeCell ref="B7:B9"/>
    <mergeCell ref="C7:C9"/>
    <mergeCell ref="D7:F7"/>
    <mergeCell ref="G7:I7"/>
    <mergeCell ref="J7:L7"/>
    <mergeCell ref="D8:D9"/>
    <mergeCell ref="F8:F9"/>
    <mergeCell ref="G8:G9"/>
    <mergeCell ref="I8:I9"/>
    <mergeCell ref="J8:J9"/>
    <mergeCell ref="L8:L9"/>
    <mergeCell ref="B19:B21"/>
    <mergeCell ref="C19:C21"/>
    <mergeCell ref="D19:F19"/>
    <mergeCell ref="G19:I19"/>
    <mergeCell ref="J19:L19"/>
    <mergeCell ref="D20:D21"/>
    <mergeCell ref="F20:F21"/>
    <mergeCell ref="G20:G21"/>
    <mergeCell ref="I20:I21"/>
    <mergeCell ref="J20:J21"/>
    <mergeCell ref="L20:L21"/>
    <mergeCell ref="B32:B34"/>
    <mergeCell ref="C32:C34"/>
    <mergeCell ref="D32:G32"/>
    <mergeCell ref="H32:K32"/>
    <mergeCell ref="L32:O32"/>
    <mergeCell ref="D33:D34"/>
    <mergeCell ref="F33:F34"/>
    <mergeCell ref="G33:G34"/>
    <mergeCell ref="H33:H34"/>
    <mergeCell ref="J33:J34"/>
    <mergeCell ref="K33:K34"/>
    <mergeCell ref="L33:L34"/>
    <mergeCell ref="N33:N34"/>
    <mergeCell ref="O33:O34"/>
    <mergeCell ref="B42:B44"/>
    <mergeCell ref="C42:C44"/>
    <mergeCell ref="D42:G42"/>
    <mergeCell ref="H42:K42"/>
    <mergeCell ref="L42:O42"/>
    <mergeCell ref="D43:D44"/>
    <mergeCell ref="F43:F44"/>
    <mergeCell ref="G43:G44"/>
    <mergeCell ref="H43:H44"/>
    <mergeCell ref="J43:J44"/>
    <mergeCell ref="K43:K44"/>
    <mergeCell ref="L43:L44"/>
    <mergeCell ref="N43:N44"/>
    <mergeCell ref="O43:O44"/>
    <mergeCell ref="B54:B56"/>
    <mergeCell ref="C54:C56"/>
    <mergeCell ref="D54:D56"/>
    <mergeCell ref="E54:G54"/>
    <mergeCell ref="H54:J54"/>
    <mergeCell ref="K54:M54"/>
    <mergeCell ref="E55:E56"/>
    <mergeCell ref="F55:F56"/>
    <mergeCell ref="G55:G56"/>
    <mergeCell ref="H55:H56"/>
    <mergeCell ref="I55:I56"/>
    <mergeCell ref="J55:J56"/>
    <mergeCell ref="K55:K56"/>
    <mergeCell ref="L55:L56"/>
    <mergeCell ref="M55:M56"/>
    <mergeCell ref="B76:B78"/>
    <mergeCell ref="C76:C78"/>
    <mergeCell ref="D76:D78"/>
    <mergeCell ref="E76:G76"/>
    <mergeCell ref="H76:J76"/>
    <mergeCell ref="K76:M76"/>
    <mergeCell ref="E77:E78"/>
    <mergeCell ref="F77:F78"/>
    <mergeCell ref="G77:G78"/>
    <mergeCell ref="H77:H78"/>
    <mergeCell ref="I77:I78"/>
    <mergeCell ref="J77:J78"/>
    <mergeCell ref="K77:K78"/>
    <mergeCell ref="L77:L78"/>
    <mergeCell ref="M77:M78"/>
    <mergeCell ref="B140:B142"/>
    <mergeCell ref="C140:C142"/>
    <mergeCell ref="D140:D142"/>
    <mergeCell ref="E140:G140"/>
    <mergeCell ref="H140:J140"/>
    <mergeCell ref="K140:M140"/>
    <mergeCell ref="E141:E142"/>
    <mergeCell ref="F141:F142"/>
    <mergeCell ref="G141:G142"/>
    <mergeCell ref="H141:H142"/>
    <mergeCell ref="J141:J142"/>
    <mergeCell ref="K141:K142"/>
    <mergeCell ref="M141:M142"/>
    <mergeCell ref="B147:B149"/>
    <mergeCell ref="C147:C149"/>
    <mergeCell ref="D147:D149"/>
    <mergeCell ref="E147:G147"/>
    <mergeCell ref="H147:J147"/>
    <mergeCell ref="K147:M147"/>
    <mergeCell ref="E148:E149"/>
    <mergeCell ref="F148:F149"/>
    <mergeCell ref="G148:G149"/>
    <mergeCell ref="H148:H149"/>
    <mergeCell ref="J148:J149"/>
    <mergeCell ref="K148:K149"/>
    <mergeCell ref="M148:M149"/>
    <mergeCell ref="B161:B163"/>
    <mergeCell ref="C161:C163"/>
    <mergeCell ref="D161:D163"/>
    <mergeCell ref="E161:G161"/>
    <mergeCell ref="H161:J161"/>
    <mergeCell ref="K161:M161"/>
    <mergeCell ref="E162:E163"/>
    <mergeCell ref="F162:F163"/>
    <mergeCell ref="G162:G163"/>
    <mergeCell ref="H162:H163"/>
    <mergeCell ref="J162:J163"/>
    <mergeCell ref="K162:K163"/>
    <mergeCell ref="M162:M163"/>
    <mergeCell ref="B171:B173"/>
    <mergeCell ref="C171:C173"/>
    <mergeCell ref="D171:D173"/>
    <mergeCell ref="E171:G171"/>
    <mergeCell ref="H171:J171"/>
    <mergeCell ref="K171:M171"/>
    <mergeCell ref="E172:E173"/>
    <mergeCell ref="F172:F173"/>
    <mergeCell ref="G172:G173"/>
    <mergeCell ref="H172:H173"/>
    <mergeCell ref="J172:J173"/>
    <mergeCell ref="K172:K173"/>
    <mergeCell ref="M172:M173"/>
    <mergeCell ref="B195:B197"/>
    <mergeCell ref="C195:C197"/>
    <mergeCell ref="D195:D197"/>
    <mergeCell ref="E195:G195"/>
    <mergeCell ref="H195:J195"/>
    <mergeCell ref="K195:M195"/>
    <mergeCell ref="E196:E197"/>
    <mergeCell ref="F196:F197"/>
    <mergeCell ref="G196:G197"/>
    <mergeCell ref="H196:H197"/>
    <mergeCell ref="J196:J197"/>
    <mergeCell ref="K196:K197"/>
    <mergeCell ref="M196:M197"/>
    <mergeCell ref="B205:B207"/>
    <mergeCell ref="C205:C207"/>
    <mergeCell ref="D205:D207"/>
    <mergeCell ref="E205:G205"/>
    <mergeCell ref="H205:J205"/>
    <mergeCell ref="K205:M205"/>
    <mergeCell ref="E206:E207"/>
    <mergeCell ref="F206:F207"/>
    <mergeCell ref="G206:G207"/>
    <mergeCell ref="H206:H207"/>
    <mergeCell ref="J206:J207"/>
    <mergeCell ref="K206:K207"/>
    <mergeCell ref="M206:M207"/>
    <mergeCell ref="B216:B218"/>
    <mergeCell ref="C216:C218"/>
    <mergeCell ref="D216:D218"/>
    <mergeCell ref="E216:G216"/>
    <mergeCell ref="H216:J216"/>
    <mergeCell ref="K216:M216"/>
    <mergeCell ref="E217:E218"/>
    <mergeCell ref="F217:F218"/>
    <mergeCell ref="G217:G218"/>
    <mergeCell ref="H217:H218"/>
    <mergeCell ref="J217:J218"/>
    <mergeCell ref="K217:K218"/>
    <mergeCell ref="M217:M218"/>
    <mergeCell ref="B226:B228"/>
    <mergeCell ref="C226:C228"/>
    <mergeCell ref="D226:D228"/>
    <mergeCell ref="E226:G226"/>
    <mergeCell ref="H226:J226"/>
    <mergeCell ref="K226:M226"/>
    <mergeCell ref="E227:E228"/>
    <mergeCell ref="F227:F228"/>
    <mergeCell ref="G227:G228"/>
    <mergeCell ref="H227:H228"/>
    <mergeCell ref="J227:J228"/>
    <mergeCell ref="K227:K228"/>
    <mergeCell ref="M227:M228"/>
    <mergeCell ref="B236:B238"/>
    <mergeCell ref="C236:C238"/>
    <mergeCell ref="D236:D238"/>
    <mergeCell ref="E236:G236"/>
    <mergeCell ref="H236:J236"/>
    <mergeCell ref="K236:M236"/>
    <mergeCell ref="E237:E238"/>
    <mergeCell ref="F237:F238"/>
    <mergeCell ref="G237:G238"/>
    <mergeCell ref="H237:H238"/>
    <mergeCell ref="J237:J238"/>
    <mergeCell ref="K237:K238"/>
    <mergeCell ref="M237:M238"/>
    <mergeCell ref="B246:B248"/>
    <mergeCell ref="C246:C248"/>
    <mergeCell ref="D246:D248"/>
    <mergeCell ref="E246:G246"/>
    <mergeCell ref="H246:J246"/>
    <mergeCell ref="K246:M246"/>
    <mergeCell ref="E247:E248"/>
    <mergeCell ref="F247:F248"/>
    <mergeCell ref="G247:G248"/>
    <mergeCell ref="H247:H248"/>
    <mergeCell ref="J247:J248"/>
    <mergeCell ref="K247:K248"/>
    <mergeCell ref="M247:M248"/>
    <mergeCell ref="B259:B261"/>
    <mergeCell ref="C259:C261"/>
    <mergeCell ref="D259:D261"/>
    <mergeCell ref="E259:G259"/>
    <mergeCell ref="H259:J259"/>
    <mergeCell ref="K259:M259"/>
    <mergeCell ref="E260:E261"/>
    <mergeCell ref="F260:F261"/>
    <mergeCell ref="G260:G261"/>
    <mergeCell ref="H260:H261"/>
    <mergeCell ref="J260:J261"/>
    <mergeCell ref="K260:K261"/>
    <mergeCell ref="M260:M261"/>
    <mergeCell ref="B269:B271"/>
    <mergeCell ref="C269:C271"/>
    <mergeCell ref="D269:D271"/>
    <mergeCell ref="E269:G269"/>
    <mergeCell ref="H269:J269"/>
    <mergeCell ref="K269:M269"/>
    <mergeCell ref="E270:E271"/>
    <mergeCell ref="F270:F271"/>
    <mergeCell ref="G270:G271"/>
    <mergeCell ref="H270:H271"/>
    <mergeCell ref="J270:J271"/>
    <mergeCell ref="K270:K271"/>
    <mergeCell ref="M270:M271"/>
    <mergeCell ref="B183:B185"/>
    <mergeCell ref="C183:C185"/>
    <mergeCell ref="D183:D185"/>
    <mergeCell ref="E183:G183"/>
    <mergeCell ref="H183:J183"/>
    <mergeCell ref="K183:M183"/>
    <mergeCell ref="E184:E185"/>
    <mergeCell ref="F184:F185"/>
    <mergeCell ref="G184:G185"/>
    <mergeCell ref="H184:H185"/>
    <mergeCell ref="J184:J185"/>
    <mergeCell ref="K184:K185"/>
    <mergeCell ref="M184:M185"/>
  </mergeCells>
  <pageMargins left="0.70866141732283472" right="0.39370078740157483" top="0.74803149606299213" bottom="0.74803149606299213" header="0.31496062992125984" footer="0.31496062992125984"/>
  <pageSetup paperSize="9" scale="44" orientation="portrait" horizontalDpi="4294967295" verticalDpi="4294967295" r:id="rId1"/>
  <rowBreaks count="1" manualBreakCount="1">
    <brk id="116" min="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workbookViewId="0">
      <selection activeCell="A29" sqref="A29"/>
    </sheetView>
  </sheetViews>
  <sheetFormatPr defaultRowHeight="16.5" customHeight="1"/>
  <cols>
    <col min="1" max="1" width="67.140625" style="28" bestFit="1" customWidth="1"/>
    <col min="2" max="2" width="8.7109375" style="28" bestFit="1" customWidth="1"/>
    <col min="3" max="3" width="14.28515625" style="28" bestFit="1" customWidth="1"/>
    <col min="4" max="4" width="11" style="28" bestFit="1" customWidth="1"/>
    <col min="5" max="5" width="14.7109375" style="28" bestFit="1" customWidth="1"/>
    <col min="6" max="6" width="15.5703125" style="28" bestFit="1" customWidth="1"/>
    <col min="7" max="7" width="15.85546875" style="28" bestFit="1" customWidth="1"/>
    <col min="8" max="8" width="12.7109375" style="28" bestFit="1" customWidth="1"/>
    <col min="9" max="9" width="10.42578125" style="28" bestFit="1" customWidth="1"/>
    <col min="10" max="10" width="10" style="28" bestFit="1" customWidth="1"/>
    <col min="11" max="15" width="8" style="28" bestFit="1" customWidth="1"/>
    <col min="16" max="16" width="9.140625" style="28" bestFit="1"/>
    <col min="17" max="16384" width="9.140625" style="28"/>
  </cols>
  <sheetData>
    <row r="1" spans="1:8" ht="16.5" customHeight="1">
      <c r="A1" s="699" t="s">
        <v>9</v>
      </c>
      <c r="B1" s="699"/>
      <c r="C1" s="699"/>
      <c r="D1" s="699"/>
      <c r="E1" s="699"/>
      <c r="F1" s="699"/>
      <c r="G1" s="699"/>
      <c r="H1" s="699"/>
    </row>
    <row r="2" spans="1:8" ht="16.5" customHeight="1">
      <c r="A2" s="29"/>
      <c r="B2" s="29"/>
      <c r="C2" s="29"/>
      <c r="D2" s="29"/>
      <c r="E2" s="29"/>
      <c r="F2" s="29"/>
      <c r="G2" s="29"/>
      <c r="H2" s="29"/>
    </row>
    <row r="3" spans="1:8" ht="16.5" customHeight="1">
      <c r="A3" s="700" t="s">
        <v>10</v>
      </c>
      <c r="B3" s="701" t="s">
        <v>11</v>
      </c>
      <c r="C3" s="701" t="s">
        <v>12</v>
      </c>
      <c r="D3" s="701" t="s">
        <v>13</v>
      </c>
      <c r="E3" s="700" t="s">
        <v>14</v>
      </c>
      <c r="F3" s="700"/>
      <c r="G3" s="700"/>
      <c r="H3" s="700"/>
    </row>
    <row r="4" spans="1:8" ht="16.5" customHeight="1">
      <c r="A4" s="700"/>
      <c r="B4" s="701"/>
      <c r="C4" s="701"/>
      <c r="D4" s="701"/>
      <c r="E4" s="30" t="s">
        <v>15</v>
      </c>
      <c r="F4" s="30" t="s">
        <v>16</v>
      </c>
      <c r="G4" s="30" t="s">
        <v>17</v>
      </c>
      <c r="H4" s="701" t="s">
        <v>18</v>
      </c>
    </row>
    <row r="5" spans="1:8" ht="48.75" customHeight="1">
      <c r="A5" s="700"/>
      <c r="B5" s="701"/>
      <c r="C5" s="701"/>
      <c r="D5" s="701"/>
      <c r="E5" s="31" t="s">
        <v>19</v>
      </c>
      <c r="F5" s="31" t="s">
        <v>20</v>
      </c>
      <c r="G5" s="31" t="s">
        <v>21</v>
      </c>
      <c r="H5" s="701"/>
    </row>
    <row r="6" spans="1:8" ht="16.5" customHeight="1">
      <c r="A6" s="32" t="s">
        <v>22</v>
      </c>
      <c r="B6" s="32" t="s">
        <v>23</v>
      </c>
      <c r="C6" s="32" t="s">
        <v>24</v>
      </c>
      <c r="D6" s="32" t="s">
        <v>25</v>
      </c>
      <c r="E6" s="32" t="s">
        <v>26</v>
      </c>
      <c r="F6" s="32" t="s">
        <v>27</v>
      </c>
      <c r="G6" s="32" t="s">
        <v>28</v>
      </c>
      <c r="H6" s="32" t="s">
        <v>29</v>
      </c>
    </row>
    <row r="7" spans="1:8" ht="16.5" customHeight="1">
      <c r="A7" s="33" t="s">
        <v>30</v>
      </c>
      <c r="B7" s="34" t="s">
        <v>31</v>
      </c>
      <c r="C7" s="34" t="s">
        <v>32</v>
      </c>
      <c r="D7" s="34" t="s">
        <v>32</v>
      </c>
      <c r="E7" s="35">
        <v>1168536.1599999999</v>
      </c>
      <c r="F7" s="35">
        <v>0</v>
      </c>
      <c r="G7" s="35">
        <v>0</v>
      </c>
      <c r="H7" s="35"/>
    </row>
    <row r="8" spans="1:8" ht="16.5" customHeight="1">
      <c r="A8" s="33" t="s">
        <v>33</v>
      </c>
      <c r="B8" s="34" t="s">
        <v>34</v>
      </c>
      <c r="C8" s="34" t="s">
        <v>32</v>
      </c>
      <c r="D8" s="34" t="s">
        <v>32</v>
      </c>
      <c r="E8" s="35">
        <v>0</v>
      </c>
      <c r="F8" s="35">
        <v>0</v>
      </c>
      <c r="G8" s="35">
        <v>0</v>
      </c>
      <c r="H8" s="35"/>
    </row>
    <row r="9" spans="1:8" ht="16.5" customHeight="1">
      <c r="A9" s="36" t="s">
        <v>35</v>
      </c>
      <c r="B9" s="37" t="s">
        <v>36</v>
      </c>
      <c r="C9" s="37" t="s">
        <v>37</v>
      </c>
      <c r="D9" s="38" t="s">
        <v>37</v>
      </c>
      <c r="E9" s="35">
        <v>76883851.019999996</v>
      </c>
      <c r="F9" s="35">
        <v>59214283.899999999</v>
      </c>
      <c r="G9" s="35">
        <v>59344802.270000003</v>
      </c>
      <c r="H9" s="35">
        <v>0</v>
      </c>
    </row>
    <row r="10" spans="1:8" ht="16.5" customHeight="1">
      <c r="A10" s="39" t="s">
        <v>38</v>
      </c>
      <c r="B10" s="34" t="s">
        <v>39</v>
      </c>
      <c r="C10" s="34" t="s">
        <v>40</v>
      </c>
      <c r="D10" s="38" t="s">
        <v>37</v>
      </c>
      <c r="E10" s="35">
        <v>76807010.780000001</v>
      </c>
      <c r="F10" s="35">
        <v>59209483.899999999</v>
      </c>
      <c r="G10" s="35">
        <v>59337602.270000003</v>
      </c>
      <c r="H10" s="35">
        <v>0</v>
      </c>
    </row>
    <row r="11" spans="1:8" ht="16.5" customHeight="1">
      <c r="A11" s="40" t="s">
        <v>41</v>
      </c>
      <c r="B11" s="34"/>
      <c r="C11" s="34"/>
      <c r="D11" s="38"/>
      <c r="E11" s="35"/>
      <c r="F11" s="35"/>
      <c r="G11" s="35"/>
      <c r="H11" s="35"/>
    </row>
    <row r="12" spans="1:8" ht="42" customHeight="1">
      <c r="A12" s="40" t="s">
        <v>42</v>
      </c>
      <c r="B12" s="34" t="s">
        <v>43</v>
      </c>
      <c r="C12" s="34" t="s">
        <v>40</v>
      </c>
      <c r="D12" s="38" t="s">
        <v>37</v>
      </c>
      <c r="E12" s="35">
        <v>64105760.780000001</v>
      </c>
      <c r="F12" s="35">
        <v>46508233.899999999</v>
      </c>
      <c r="G12" s="35">
        <v>46636352.270000003</v>
      </c>
      <c r="H12" s="35">
        <v>0</v>
      </c>
    </row>
    <row r="13" spans="1:8" ht="16.5" customHeight="1">
      <c r="A13" s="41" t="s">
        <v>44</v>
      </c>
      <c r="B13" s="38" t="s">
        <v>45</v>
      </c>
      <c r="C13" s="38" t="s">
        <v>40</v>
      </c>
      <c r="D13" s="38" t="s">
        <v>37</v>
      </c>
      <c r="E13" s="42">
        <v>12701250</v>
      </c>
      <c r="F13" s="42">
        <v>12701250</v>
      </c>
      <c r="G13" s="42">
        <v>12701250</v>
      </c>
      <c r="H13" s="35">
        <v>0</v>
      </c>
    </row>
    <row r="14" spans="1:8" ht="16.5" customHeight="1">
      <c r="A14" s="41" t="s">
        <v>46</v>
      </c>
      <c r="B14" s="38" t="s">
        <v>47</v>
      </c>
      <c r="C14" s="38" t="s">
        <v>48</v>
      </c>
      <c r="D14" s="38" t="s">
        <v>37</v>
      </c>
      <c r="E14" s="42">
        <v>52297.49</v>
      </c>
      <c r="F14" s="42">
        <v>4800</v>
      </c>
      <c r="G14" s="42">
        <v>7200</v>
      </c>
      <c r="H14" s="35">
        <v>0</v>
      </c>
    </row>
    <row r="15" spans="1:8" ht="16.5" customHeight="1">
      <c r="A15" s="41" t="s">
        <v>49</v>
      </c>
      <c r="B15" s="38" t="s">
        <v>50</v>
      </c>
      <c r="C15" s="38" t="s">
        <v>48</v>
      </c>
      <c r="D15" s="38" t="s">
        <v>37</v>
      </c>
      <c r="E15" s="42">
        <v>51097.49</v>
      </c>
      <c r="F15" s="42">
        <v>0</v>
      </c>
      <c r="G15" s="42">
        <v>0</v>
      </c>
      <c r="H15" s="35">
        <v>0</v>
      </c>
    </row>
    <row r="16" spans="1:8" ht="16.5" customHeight="1">
      <c r="A16" s="41" t="s">
        <v>49</v>
      </c>
      <c r="B16" s="38" t="s">
        <v>50</v>
      </c>
      <c r="C16" s="38" t="s">
        <v>48</v>
      </c>
      <c r="D16" s="38" t="s">
        <v>37</v>
      </c>
      <c r="E16" s="42">
        <v>1200</v>
      </c>
      <c r="F16" s="42">
        <v>4800</v>
      </c>
      <c r="G16" s="42">
        <v>7200</v>
      </c>
      <c r="H16" s="35">
        <v>0</v>
      </c>
    </row>
    <row r="17" spans="1:8" ht="16.5" customHeight="1">
      <c r="A17" s="41" t="s">
        <v>51</v>
      </c>
      <c r="B17" s="38" t="s">
        <v>52</v>
      </c>
      <c r="C17" s="38" t="s">
        <v>37</v>
      </c>
      <c r="D17" s="38" t="s">
        <v>37</v>
      </c>
      <c r="E17" s="42">
        <v>24542.75</v>
      </c>
      <c r="F17" s="42">
        <v>0</v>
      </c>
      <c r="G17" s="42">
        <v>0</v>
      </c>
      <c r="H17" s="35">
        <v>0</v>
      </c>
    </row>
    <row r="18" spans="1:8" ht="16.5" customHeight="1">
      <c r="A18" s="41" t="s">
        <v>53</v>
      </c>
      <c r="B18" s="38" t="s">
        <v>54</v>
      </c>
      <c r="C18" s="38" t="s">
        <v>37</v>
      </c>
      <c r="D18" s="38" t="s">
        <v>37</v>
      </c>
      <c r="E18" s="42">
        <v>24542.75</v>
      </c>
      <c r="F18" s="42">
        <v>0</v>
      </c>
      <c r="G18" s="42">
        <v>0</v>
      </c>
      <c r="H18" s="35">
        <v>0</v>
      </c>
    </row>
    <row r="19" spans="1:8" ht="34.5" customHeight="1">
      <c r="A19" s="41" t="s">
        <v>55</v>
      </c>
      <c r="B19" s="38" t="s">
        <v>56</v>
      </c>
      <c r="C19" s="38" t="s">
        <v>57</v>
      </c>
      <c r="D19" s="38" t="s">
        <v>37</v>
      </c>
      <c r="E19" s="42">
        <v>24542.75</v>
      </c>
      <c r="F19" s="42">
        <v>0</v>
      </c>
      <c r="G19" s="42">
        <v>0</v>
      </c>
      <c r="H19" s="35">
        <v>0</v>
      </c>
    </row>
    <row r="20" spans="1:8" ht="16.5" customHeight="1">
      <c r="A20" s="36" t="s">
        <v>58</v>
      </c>
      <c r="B20" s="37" t="s">
        <v>59</v>
      </c>
      <c r="C20" s="37" t="s">
        <v>37</v>
      </c>
      <c r="D20" s="38" t="s">
        <v>37</v>
      </c>
      <c r="E20" s="35">
        <v>78052387.180000007</v>
      </c>
      <c r="F20" s="35">
        <v>59214283.899999999</v>
      </c>
      <c r="G20" s="35">
        <v>59344802.270000003</v>
      </c>
      <c r="H20" s="35">
        <v>0</v>
      </c>
    </row>
    <row r="21" spans="1:8" ht="16.5" customHeight="1">
      <c r="A21" s="41" t="s">
        <v>60</v>
      </c>
      <c r="B21" s="38" t="s">
        <v>61</v>
      </c>
      <c r="C21" s="38" t="s">
        <v>37</v>
      </c>
      <c r="D21" s="38" t="s">
        <v>37</v>
      </c>
      <c r="E21" s="42">
        <v>51322096.859999999</v>
      </c>
      <c r="F21" s="42">
        <v>44092918.710000001</v>
      </c>
      <c r="G21" s="42">
        <v>44354159.509999998</v>
      </c>
      <c r="H21" s="35">
        <v>0</v>
      </c>
    </row>
    <row r="22" spans="1:8" ht="16.5" customHeight="1">
      <c r="A22" s="41" t="s">
        <v>62</v>
      </c>
      <c r="B22" s="38" t="s">
        <v>63</v>
      </c>
      <c r="C22" s="38" t="s">
        <v>64</v>
      </c>
      <c r="D22" s="38" t="s">
        <v>37</v>
      </c>
      <c r="E22" s="42">
        <v>37924589.600000001</v>
      </c>
      <c r="F22" s="42">
        <v>32368116.829999998</v>
      </c>
      <c r="G22" s="42">
        <v>32468524.530000001</v>
      </c>
      <c r="H22" s="35">
        <v>0</v>
      </c>
    </row>
    <row r="23" spans="1:8" ht="16.5" customHeight="1">
      <c r="A23" s="41" t="s">
        <v>65</v>
      </c>
      <c r="B23" s="38" t="s">
        <v>66</v>
      </c>
      <c r="C23" s="38" t="s">
        <v>64</v>
      </c>
      <c r="D23" s="38" t="s">
        <v>67</v>
      </c>
      <c r="E23" s="42">
        <v>4918649.08</v>
      </c>
      <c r="F23" s="42">
        <v>5045709.93</v>
      </c>
      <c r="G23" s="42">
        <v>5207036.58</v>
      </c>
      <c r="H23" s="35">
        <v>0</v>
      </c>
    </row>
    <row r="24" spans="1:8" ht="16.5" customHeight="1">
      <c r="A24" s="41" t="s">
        <v>65</v>
      </c>
      <c r="B24" s="38" t="s">
        <v>66</v>
      </c>
      <c r="C24" s="38" t="s">
        <v>64</v>
      </c>
      <c r="D24" s="38" t="s">
        <v>67</v>
      </c>
      <c r="E24" s="42">
        <v>10000</v>
      </c>
      <c r="F24" s="42">
        <v>8000</v>
      </c>
      <c r="G24" s="42">
        <v>3000</v>
      </c>
      <c r="H24" s="35">
        <v>0</v>
      </c>
    </row>
    <row r="25" spans="1:8" ht="16.5" customHeight="1">
      <c r="A25" s="41" t="s">
        <v>65</v>
      </c>
      <c r="B25" s="38" t="s">
        <v>66</v>
      </c>
      <c r="C25" s="38" t="s">
        <v>64</v>
      </c>
      <c r="D25" s="38" t="s">
        <v>67</v>
      </c>
      <c r="E25" s="42">
        <v>32780340.52</v>
      </c>
      <c r="F25" s="42">
        <v>27186806.899999999</v>
      </c>
      <c r="G25" s="42">
        <v>27124887.949999999</v>
      </c>
      <c r="H25" s="35">
        <v>0</v>
      </c>
    </row>
    <row r="26" spans="1:8" ht="16.5" customHeight="1">
      <c r="A26" s="41" t="s">
        <v>65</v>
      </c>
      <c r="B26" s="38" t="s">
        <v>66</v>
      </c>
      <c r="C26" s="38" t="s">
        <v>64</v>
      </c>
      <c r="D26" s="38" t="s">
        <v>67</v>
      </c>
      <c r="E26" s="42">
        <v>128000</v>
      </c>
      <c r="F26" s="42">
        <v>88000</v>
      </c>
      <c r="G26" s="42">
        <v>94000</v>
      </c>
      <c r="H26" s="35">
        <v>0</v>
      </c>
    </row>
    <row r="27" spans="1:8" ht="16.5" customHeight="1">
      <c r="A27" s="41" t="s">
        <v>65</v>
      </c>
      <c r="B27" s="38" t="s">
        <v>68</v>
      </c>
      <c r="C27" s="38" t="s">
        <v>64</v>
      </c>
      <c r="D27" s="38" t="s">
        <v>69</v>
      </c>
      <c r="E27" s="42">
        <v>17800</v>
      </c>
      <c r="F27" s="42">
        <v>19800</v>
      </c>
      <c r="G27" s="42">
        <v>19800</v>
      </c>
      <c r="H27" s="35">
        <v>0</v>
      </c>
    </row>
    <row r="28" spans="1:8" ht="16.5" customHeight="1">
      <c r="A28" s="41" t="s">
        <v>65</v>
      </c>
      <c r="B28" s="38" t="s">
        <v>68</v>
      </c>
      <c r="C28" s="38" t="s">
        <v>64</v>
      </c>
      <c r="D28" s="38" t="s">
        <v>69</v>
      </c>
      <c r="E28" s="42">
        <v>69800</v>
      </c>
      <c r="F28" s="42">
        <v>19800</v>
      </c>
      <c r="G28" s="42">
        <v>19800</v>
      </c>
      <c r="H28" s="35">
        <v>0</v>
      </c>
    </row>
    <row r="29" spans="1:8" ht="16.5" customHeight="1">
      <c r="A29" s="41" t="s">
        <v>70</v>
      </c>
      <c r="B29" s="38" t="s">
        <v>71</v>
      </c>
      <c r="C29" s="38" t="s">
        <v>72</v>
      </c>
      <c r="D29" s="38" t="s">
        <v>37</v>
      </c>
      <c r="E29" s="42">
        <v>2155061</v>
      </c>
      <c r="F29" s="42">
        <v>2097795.75</v>
      </c>
      <c r="G29" s="42">
        <v>2217850.75</v>
      </c>
      <c r="H29" s="35">
        <v>0</v>
      </c>
    </row>
    <row r="30" spans="1:8" ht="16.5" customHeight="1">
      <c r="A30" s="41" t="s">
        <v>73</v>
      </c>
      <c r="B30" s="38" t="s">
        <v>74</v>
      </c>
      <c r="C30" s="38" t="s">
        <v>72</v>
      </c>
      <c r="D30" s="38" t="s">
        <v>75</v>
      </c>
      <c r="E30" s="42">
        <v>238500</v>
      </c>
      <c r="F30" s="42">
        <v>243000</v>
      </c>
      <c r="G30" s="42">
        <v>243000</v>
      </c>
      <c r="H30" s="35">
        <v>0</v>
      </c>
    </row>
    <row r="31" spans="1:8" ht="16.5" customHeight="1">
      <c r="A31" s="41" t="s">
        <v>73</v>
      </c>
      <c r="B31" s="38" t="s">
        <v>74</v>
      </c>
      <c r="C31" s="38" t="s">
        <v>72</v>
      </c>
      <c r="D31" s="38" t="s">
        <v>76</v>
      </c>
      <c r="E31" s="42">
        <v>140000</v>
      </c>
      <c r="F31" s="42">
        <v>100000</v>
      </c>
      <c r="G31" s="42">
        <v>140000</v>
      </c>
      <c r="H31" s="35">
        <v>0</v>
      </c>
    </row>
    <row r="32" spans="1:8" ht="16.5" customHeight="1">
      <c r="A32" s="41" t="s">
        <v>73</v>
      </c>
      <c r="B32" s="38" t="s">
        <v>74</v>
      </c>
      <c r="C32" s="38" t="s">
        <v>72</v>
      </c>
      <c r="D32" s="38" t="s">
        <v>76</v>
      </c>
      <c r="E32" s="42">
        <v>960000</v>
      </c>
      <c r="F32" s="42">
        <v>880000</v>
      </c>
      <c r="G32" s="42">
        <v>960000</v>
      </c>
      <c r="H32" s="35">
        <v>0</v>
      </c>
    </row>
    <row r="33" spans="1:8" ht="16.5" customHeight="1">
      <c r="A33" s="41" t="s">
        <v>73</v>
      </c>
      <c r="B33" s="38" t="s">
        <v>74</v>
      </c>
      <c r="C33" s="38" t="s">
        <v>72</v>
      </c>
      <c r="D33" s="38" t="s">
        <v>77</v>
      </c>
      <c r="E33" s="42">
        <v>750321</v>
      </c>
      <c r="F33" s="42">
        <v>764478</v>
      </c>
      <c r="G33" s="42">
        <v>764478</v>
      </c>
      <c r="H33" s="35">
        <v>0</v>
      </c>
    </row>
    <row r="34" spans="1:8" ht="16.5" customHeight="1">
      <c r="A34" s="41" t="s">
        <v>73</v>
      </c>
      <c r="B34" s="38" t="s">
        <v>74</v>
      </c>
      <c r="C34" s="38" t="s">
        <v>72</v>
      </c>
      <c r="D34" s="38" t="s">
        <v>77</v>
      </c>
      <c r="E34" s="42">
        <v>10000</v>
      </c>
      <c r="F34" s="42">
        <v>0</v>
      </c>
      <c r="G34" s="42">
        <v>0</v>
      </c>
      <c r="H34" s="35">
        <v>0</v>
      </c>
    </row>
    <row r="35" spans="1:8" ht="16.5" customHeight="1">
      <c r="A35" s="41" t="s">
        <v>73</v>
      </c>
      <c r="B35" s="38" t="s">
        <v>74</v>
      </c>
      <c r="C35" s="38" t="s">
        <v>72</v>
      </c>
      <c r="D35" s="38" t="s">
        <v>69</v>
      </c>
      <c r="E35" s="42">
        <v>1800</v>
      </c>
      <c r="F35" s="42">
        <v>1800</v>
      </c>
      <c r="G35" s="42">
        <v>900</v>
      </c>
      <c r="H35" s="35">
        <v>0</v>
      </c>
    </row>
    <row r="36" spans="1:8" ht="16.5" customHeight="1">
      <c r="A36" s="41" t="s">
        <v>73</v>
      </c>
      <c r="B36" s="38" t="s">
        <v>74</v>
      </c>
      <c r="C36" s="38" t="s">
        <v>72</v>
      </c>
      <c r="D36" s="38" t="s">
        <v>69</v>
      </c>
      <c r="E36" s="42">
        <v>53240</v>
      </c>
      <c r="F36" s="42">
        <v>103717.75</v>
      </c>
      <c r="G36" s="42">
        <v>102272.75</v>
      </c>
      <c r="H36" s="35">
        <v>0</v>
      </c>
    </row>
    <row r="37" spans="1:8" ht="16.5" customHeight="1">
      <c r="A37" s="41" t="s">
        <v>73</v>
      </c>
      <c r="B37" s="38" t="s">
        <v>74</v>
      </c>
      <c r="C37" s="38" t="s">
        <v>72</v>
      </c>
      <c r="D37" s="38" t="s">
        <v>69</v>
      </c>
      <c r="E37" s="42">
        <v>1200</v>
      </c>
      <c r="F37" s="42">
        <v>4800</v>
      </c>
      <c r="G37" s="42">
        <v>7200</v>
      </c>
      <c r="H37" s="35">
        <v>0</v>
      </c>
    </row>
    <row r="38" spans="1:8" ht="16.5" customHeight="1">
      <c r="A38" s="41" t="s">
        <v>78</v>
      </c>
      <c r="B38" s="38" t="s">
        <v>79</v>
      </c>
      <c r="C38" s="38" t="s">
        <v>80</v>
      </c>
      <c r="D38" s="38" t="s">
        <v>37</v>
      </c>
      <c r="E38" s="42">
        <v>11242446.26</v>
      </c>
      <c r="F38" s="42">
        <v>9627006.1300000008</v>
      </c>
      <c r="G38" s="42">
        <v>9667784.2300000004</v>
      </c>
      <c r="H38" s="35">
        <v>0</v>
      </c>
    </row>
    <row r="39" spans="1:8" ht="16.5" customHeight="1">
      <c r="A39" s="41" t="s">
        <v>81</v>
      </c>
      <c r="B39" s="38" t="s">
        <v>82</v>
      </c>
      <c r="C39" s="38" t="s">
        <v>80</v>
      </c>
      <c r="D39" s="38" t="s">
        <v>83</v>
      </c>
      <c r="E39" s="42">
        <v>1437646.13</v>
      </c>
      <c r="F39" s="42">
        <v>1450913.69</v>
      </c>
      <c r="G39" s="42">
        <v>1533302.43</v>
      </c>
      <c r="H39" s="35">
        <v>0</v>
      </c>
    </row>
    <row r="40" spans="1:8" ht="16.5" customHeight="1">
      <c r="A40" s="41" t="s">
        <v>81</v>
      </c>
      <c r="B40" s="38" t="s">
        <v>82</v>
      </c>
      <c r="C40" s="38" t="s">
        <v>80</v>
      </c>
      <c r="D40" s="38" t="s">
        <v>83</v>
      </c>
      <c r="E40" s="42">
        <v>17516</v>
      </c>
      <c r="F40" s="42">
        <v>5436</v>
      </c>
      <c r="G40" s="42">
        <v>7248</v>
      </c>
      <c r="H40" s="35">
        <v>0</v>
      </c>
    </row>
    <row r="41" spans="1:8" ht="16.5" customHeight="1">
      <c r="A41" s="41" t="s">
        <v>81</v>
      </c>
      <c r="B41" s="38" t="s">
        <v>82</v>
      </c>
      <c r="C41" s="38" t="s">
        <v>80</v>
      </c>
      <c r="D41" s="38" t="s">
        <v>83</v>
      </c>
      <c r="E41" s="42">
        <v>9756045.25</v>
      </c>
      <c r="F41" s="42">
        <v>8142293.2800000003</v>
      </c>
      <c r="G41" s="42">
        <v>8098921.9800000004</v>
      </c>
      <c r="H41" s="35">
        <v>0</v>
      </c>
    </row>
    <row r="42" spans="1:8" ht="16.5" customHeight="1">
      <c r="A42" s="41" t="s">
        <v>81</v>
      </c>
      <c r="B42" s="38" t="s">
        <v>82</v>
      </c>
      <c r="C42" s="38" t="s">
        <v>80</v>
      </c>
      <c r="D42" s="38" t="s">
        <v>69</v>
      </c>
      <c r="E42" s="42">
        <v>31238.880000000001</v>
      </c>
      <c r="F42" s="42">
        <v>28363.16</v>
      </c>
      <c r="G42" s="42">
        <v>28311.82</v>
      </c>
      <c r="H42" s="35">
        <v>0</v>
      </c>
    </row>
    <row r="43" spans="1:8" ht="16.5" customHeight="1">
      <c r="A43" s="41" t="s">
        <v>84</v>
      </c>
      <c r="B43" s="38" t="s">
        <v>85</v>
      </c>
      <c r="C43" s="38" t="s">
        <v>86</v>
      </c>
      <c r="D43" s="38" t="s">
        <v>37</v>
      </c>
      <c r="E43" s="42">
        <v>1306992.98</v>
      </c>
      <c r="F43" s="42">
        <v>2115945.37</v>
      </c>
      <c r="G43" s="42">
        <v>2060127.61</v>
      </c>
      <c r="H43" s="35">
        <v>0</v>
      </c>
    </row>
    <row r="44" spans="1:8" ht="16.5" customHeight="1">
      <c r="A44" s="41" t="s">
        <v>87</v>
      </c>
      <c r="B44" s="38" t="s">
        <v>88</v>
      </c>
      <c r="C44" s="38" t="s">
        <v>89</v>
      </c>
      <c r="D44" s="38" t="s">
        <v>90</v>
      </c>
      <c r="E44" s="42">
        <v>1223455</v>
      </c>
      <c r="F44" s="42">
        <v>2031292</v>
      </c>
      <c r="G44" s="42">
        <v>1975232.25</v>
      </c>
      <c r="H44" s="35">
        <v>0</v>
      </c>
    </row>
    <row r="45" spans="1:8" ht="16.5" customHeight="1">
      <c r="A45" s="41" t="s">
        <v>91</v>
      </c>
      <c r="B45" s="38" t="s">
        <v>92</v>
      </c>
      <c r="C45" s="38" t="s">
        <v>93</v>
      </c>
      <c r="D45" s="38" t="s">
        <v>90</v>
      </c>
      <c r="E45" s="42">
        <v>19701</v>
      </c>
      <c r="F45" s="42">
        <v>19701</v>
      </c>
      <c r="G45" s="42">
        <v>19701</v>
      </c>
      <c r="H45" s="35">
        <v>0</v>
      </c>
    </row>
    <row r="46" spans="1:8" ht="16.5" customHeight="1">
      <c r="A46" s="41" t="s">
        <v>91</v>
      </c>
      <c r="B46" s="38" t="s">
        <v>92</v>
      </c>
      <c r="C46" s="38" t="s">
        <v>93</v>
      </c>
      <c r="D46" s="38" t="s">
        <v>94</v>
      </c>
      <c r="E46" s="42">
        <v>6453.17</v>
      </c>
      <c r="F46" s="42">
        <v>7568.56</v>
      </c>
      <c r="G46" s="42">
        <v>7810.55</v>
      </c>
      <c r="H46" s="35">
        <v>0</v>
      </c>
    </row>
    <row r="47" spans="1:8" ht="16.5" customHeight="1">
      <c r="A47" s="41" t="s">
        <v>91</v>
      </c>
      <c r="B47" s="38" t="s">
        <v>92</v>
      </c>
      <c r="C47" s="38" t="s">
        <v>93</v>
      </c>
      <c r="D47" s="38" t="s">
        <v>94</v>
      </c>
      <c r="E47" s="42">
        <v>57383.81</v>
      </c>
      <c r="F47" s="42">
        <v>57383.81</v>
      </c>
      <c r="G47" s="42">
        <v>57383.81</v>
      </c>
      <c r="H47" s="35">
        <v>0</v>
      </c>
    </row>
    <row r="48" spans="1:8" ht="16.5" customHeight="1">
      <c r="A48" s="41" t="s">
        <v>95</v>
      </c>
      <c r="B48" s="38" t="s">
        <v>96</v>
      </c>
      <c r="C48" s="38" t="s">
        <v>37</v>
      </c>
      <c r="D48" s="38" t="s">
        <v>37</v>
      </c>
      <c r="E48" s="42">
        <v>25423297.34</v>
      </c>
      <c r="F48" s="42">
        <v>13005419.82</v>
      </c>
      <c r="G48" s="42">
        <v>12930515.15</v>
      </c>
      <c r="H48" s="35">
        <v>0</v>
      </c>
    </row>
    <row r="49" spans="1:8" ht="16.5" customHeight="1">
      <c r="A49" s="41" t="s">
        <v>97</v>
      </c>
      <c r="B49" s="38" t="s">
        <v>98</v>
      </c>
      <c r="C49" s="38" t="s">
        <v>99</v>
      </c>
      <c r="D49" s="38" t="s">
        <v>37</v>
      </c>
      <c r="E49" s="42">
        <v>25423297.34</v>
      </c>
      <c r="F49" s="42">
        <v>13005419.82</v>
      </c>
      <c r="G49" s="42">
        <v>12930515.15</v>
      </c>
      <c r="H49" s="35">
        <v>0</v>
      </c>
    </row>
    <row r="50" spans="1:8" ht="16.5" customHeight="1">
      <c r="A50" s="41" t="s">
        <v>100</v>
      </c>
      <c r="B50" s="38" t="s">
        <v>101</v>
      </c>
      <c r="C50" s="38" t="s">
        <v>99</v>
      </c>
      <c r="D50" s="38" t="s">
        <v>77</v>
      </c>
      <c r="E50" s="42">
        <v>169385.08</v>
      </c>
      <c r="F50" s="42">
        <v>0</v>
      </c>
      <c r="G50" s="42">
        <v>0</v>
      </c>
      <c r="H50" s="35">
        <v>0</v>
      </c>
    </row>
    <row r="51" spans="1:8" ht="16.5" customHeight="1">
      <c r="A51" s="41" t="s">
        <v>102</v>
      </c>
      <c r="B51" s="38" t="s">
        <v>101</v>
      </c>
      <c r="C51" s="38" t="s">
        <v>99</v>
      </c>
      <c r="D51" s="38" t="s">
        <v>103</v>
      </c>
      <c r="E51" s="42">
        <v>0</v>
      </c>
      <c r="F51" s="42">
        <v>51000</v>
      </c>
      <c r="G51" s="42">
        <v>181320</v>
      </c>
      <c r="H51" s="35">
        <v>0</v>
      </c>
    </row>
    <row r="52" spans="1:8" ht="16.5" customHeight="1">
      <c r="A52" s="41" t="s">
        <v>102</v>
      </c>
      <c r="B52" s="38" t="s">
        <v>101</v>
      </c>
      <c r="C52" s="38" t="s">
        <v>99</v>
      </c>
      <c r="D52" s="38" t="s">
        <v>103</v>
      </c>
      <c r="E52" s="42">
        <v>289784.15999999997</v>
      </c>
      <c r="F52" s="42">
        <v>238784.16</v>
      </c>
      <c r="G52" s="42">
        <v>108464.16</v>
      </c>
      <c r="H52" s="35">
        <v>0</v>
      </c>
    </row>
    <row r="53" spans="1:8" ht="16.5" customHeight="1">
      <c r="A53" s="41" t="s">
        <v>104</v>
      </c>
      <c r="B53" s="38" t="s">
        <v>101</v>
      </c>
      <c r="C53" s="38" t="s">
        <v>99</v>
      </c>
      <c r="D53" s="38" t="s">
        <v>105</v>
      </c>
      <c r="E53" s="42">
        <v>236954.25</v>
      </c>
      <c r="F53" s="42">
        <v>405383.61</v>
      </c>
      <c r="G53" s="42">
        <v>405383.61</v>
      </c>
      <c r="H53" s="35">
        <v>0</v>
      </c>
    </row>
    <row r="54" spans="1:8" ht="16.5" customHeight="1">
      <c r="A54" s="41" t="s">
        <v>104</v>
      </c>
      <c r="B54" s="38" t="s">
        <v>101</v>
      </c>
      <c r="C54" s="38" t="s">
        <v>99</v>
      </c>
      <c r="D54" s="38" t="s">
        <v>105</v>
      </c>
      <c r="E54" s="42">
        <v>247741.27</v>
      </c>
      <c r="F54" s="42">
        <v>79311.92</v>
      </c>
      <c r="G54" s="42">
        <v>79311.92</v>
      </c>
      <c r="H54" s="35">
        <v>0</v>
      </c>
    </row>
    <row r="55" spans="1:8" ht="16.5" customHeight="1">
      <c r="A55" s="41" t="s">
        <v>106</v>
      </c>
      <c r="B55" s="38" t="s">
        <v>101</v>
      </c>
      <c r="C55" s="38" t="s">
        <v>99</v>
      </c>
      <c r="D55" s="38" t="s">
        <v>107</v>
      </c>
      <c r="E55" s="42">
        <v>1487566.76</v>
      </c>
      <c r="F55" s="42">
        <v>2023390.58</v>
      </c>
      <c r="G55" s="42">
        <v>2057755.88</v>
      </c>
      <c r="H55" s="35">
        <v>0</v>
      </c>
    </row>
    <row r="56" spans="1:8" ht="16.5" customHeight="1">
      <c r="A56" s="41" t="s">
        <v>108</v>
      </c>
      <c r="B56" s="38" t="s">
        <v>101</v>
      </c>
      <c r="C56" s="38" t="s">
        <v>99</v>
      </c>
      <c r="D56" s="38" t="s">
        <v>109</v>
      </c>
      <c r="E56" s="42">
        <v>409991.63</v>
      </c>
      <c r="F56" s="42">
        <v>247159.33</v>
      </c>
      <c r="G56" s="42">
        <v>32196.28</v>
      </c>
      <c r="H56" s="35">
        <v>0</v>
      </c>
    </row>
    <row r="57" spans="1:8" ht="16.5" customHeight="1">
      <c r="A57" s="41" t="s">
        <v>108</v>
      </c>
      <c r="B57" s="38" t="s">
        <v>101</v>
      </c>
      <c r="C57" s="38" t="s">
        <v>99</v>
      </c>
      <c r="D57" s="38" t="s">
        <v>109</v>
      </c>
      <c r="E57" s="42">
        <v>1257963.77</v>
      </c>
      <c r="F57" s="42">
        <v>1845207.18</v>
      </c>
      <c r="G57" s="42">
        <v>1952688.71</v>
      </c>
      <c r="H57" s="35">
        <v>0</v>
      </c>
    </row>
    <row r="58" spans="1:8" ht="16.5" customHeight="1">
      <c r="A58" s="41" t="s">
        <v>100</v>
      </c>
      <c r="B58" s="38" t="s">
        <v>101</v>
      </c>
      <c r="C58" s="38" t="s">
        <v>99</v>
      </c>
      <c r="D58" s="38" t="s">
        <v>77</v>
      </c>
      <c r="E58" s="42">
        <v>3146739.18</v>
      </c>
      <c r="F58" s="42">
        <v>2757335.86</v>
      </c>
      <c r="G58" s="42">
        <v>2742231.09</v>
      </c>
      <c r="H58" s="35">
        <v>0</v>
      </c>
    </row>
    <row r="59" spans="1:8" ht="16.5" customHeight="1">
      <c r="A59" s="41" t="s">
        <v>100</v>
      </c>
      <c r="B59" s="38" t="s">
        <v>101</v>
      </c>
      <c r="C59" s="38" t="s">
        <v>99</v>
      </c>
      <c r="D59" s="38" t="s">
        <v>77</v>
      </c>
      <c r="E59" s="42">
        <v>10029318.25</v>
      </c>
      <c r="F59" s="42">
        <v>1299347.94</v>
      </c>
      <c r="G59" s="42">
        <v>1314452.71</v>
      </c>
      <c r="H59" s="35">
        <v>0</v>
      </c>
    </row>
    <row r="60" spans="1:8" ht="16.5" customHeight="1">
      <c r="A60" s="41" t="s">
        <v>100</v>
      </c>
      <c r="B60" s="38" t="s">
        <v>101</v>
      </c>
      <c r="C60" s="38" t="s">
        <v>99</v>
      </c>
      <c r="D60" s="38" t="s">
        <v>77</v>
      </c>
      <c r="E60" s="42">
        <v>2070591.33</v>
      </c>
      <c r="F60" s="42">
        <v>2192317.98</v>
      </c>
      <c r="G60" s="42">
        <v>2329591.33</v>
      </c>
      <c r="H60" s="35">
        <v>0</v>
      </c>
    </row>
    <row r="61" spans="1:8" ht="16.5" customHeight="1">
      <c r="A61" s="41" t="s">
        <v>100</v>
      </c>
      <c r="B61" s="38" t="s">
        <v>101</v>
      </c>
      <c r="C61" s="38" t="s">
        <v>99</v>
      </c>
      <c r="D61" s="38" t="s">
        <v>77</v>
      </c>
      <c r="E61" s="42">
        <v>395212.59</v>
      </c>
      <c r="F61" s="42">
        <v>0</v>
      </c>
      <c r="G61" s="42">
        <v>0</v>
      </c>
      <c r="H61" s="35">
        <v>0</v>
      </c>
    </row>
    <row r="62" spans="1:8" ht="16.5" customHeight="1">
      <c r="A62" s="41" t="s">
        <v>100</v>
      </c>
      <c r="B62" s="38" t="s">
        <v>101</v>
      </c>
      <c r="C62" s="38" t="s">
        <v>99</v>
      </c>
      <c r="D62" s="38" t="s">
        <v>77</v>
      </c>
      <c r="E62" s="42">
        <v>29715.66</v>
      </c>
      <c r="F62" s="42">
        <v>0</v>
      </c>
      <c r="G62" s="42">
        <v>0</v>
      </c>
      <c r="H62" s="35">
        <v>0</v>
      </c>
    </row>
    <row r="63" spans="1:8" ht="16.5" customHeight="1">
      <c r="A63" s="41" t="s">
        <v>100</v>
      </c>
      <c r="B63" s="38" t="s">
        <v>101</v>
      </c>
      <c r="C63" s="38" t="s">
        <v>99</v>
      </c>
      <c r="D63" s="38" t="s">
        <v>77</v>
      </c>
      <c r="E63" s="42">
        <v>51097.49</v>
      </c>
      <c r="F63" s="42">
        <v>0</v>
      </c>
      <c r="G63" s="42">
        <v>0</v>
      </c>
      <c r="H63" s="35">
        <v>0</v>
      </c>
    </row>
    <row r="64" spans="1:8" ht="16.5" customHeight="1">
      <c r="A64" s="41" t="s">
        <v>110</v>
      </c>
      <c r="B64" s="38" t="s">
        <v>101</v>
      </c>
      <c r="C64" s="38" t="s">
        <v>99</v>
      </c>
      <c r="D64" s="38" t="s">
        <v>111</v>
      </c>
      <c r="E64" s="42">
        <v>1235078.56</v>
      </c>
      <c r="F64" s="42">
        <v>254705.11</v>
      </c>
      <c r="G64" s="42">
        <v>76395.55</v>
      </c>
      <c r="H64" s="35">
        <v>0</v>
      </c>
    </row>
    <row r="65" spans="1:8" ht="16.5" customHeight="1">
      <c r="A65" s="41" t="s">
        <v>110</v>
      </c>
      <c r="B65" s="38" t="s">
        <v>101</v>
      </c>
      <c r="C65" s="38" t="s">
        <v>99</v>
      </c>
      <c r="D65" s="38" t="s">
        <v>111</v>
      </c>
      <c r="E65" s="42">
        <v>674139.96</v>
      </c>
      <c r="F65" s="42">
        <v>0</v>
      </c>
      <c r="G65" s="42">
        <v>0</v>
      </c>
      <c r="H65" s="35">
        <v>0</v>
      </c>
    </row>
    <row r="66" spans="1:8" ht="16.5" customHeight="1">
      <c r="A66" s="41" t="s">
        <v>110</v>
      </c>
      <c r="B66" s="38" t="s">
        <v>101</v>
      </c>
      <c r="C66" s="38" t="s">
        <v>99</v>
      </c>
      <c r="D66" s="38" t="s">
        <v>111</v>
      </c>
      <c r="E66" s="42">
        <v>1572916.6</v>
      </c>
      <c r="F66" s="42">
        <v>0</v>
      </c>
      <c r="G66" s="42">
        <v>0</v>
      </c>
      <c r="H66" s="35">
        <v>0</v>
      </c>
    </row>
    <row r="67" spans="1:8" ht="16.5" customHeight="1">
      <c r="A67" s="41" t="s">
        <v>110</v>
      </c>
      <c r="B67" s="38" t="s">
        <v>101</v>
      </c>
      <c r="C67" s="38" t="s">
        <v>99</v>
      </c>
      <c r="D67" s="38" t="s">
        <v>111</v>
      </c>
      <c r="E67" s="42">
        <v>118266.14</v>
      </c>
      <c r="F67" s="42">
        <v>0</v>
      </c>
      <c r="G67" s="42">
        <v>0</v>
      </c>
      <c r="H67" s="35">
        <v>0</v>
      </c>
    </row>
    <row r="68" spans="1:8" ht="16.5" customHeight="1">
      <c r="A68" s="41" t="s">
        <v>112</v>
      </c>
      <c r="B68" s="38" t="s">
        <v>101</v>
      </c>
      <c r="C68" s="38" t="s">
        <v>99</v>
      </c>
      <c r="D68" s="38" t="s">
        <v>113</v>
      </c>
      <c r="E68" s="42">
        <v>51330</v>
      </c>
      <c r="F68" s="42">
        <v>51330</v>
      </c>
      <c r="G68" s="42">
        <v>51330</v>
      </c>
      <c r="H68" s="35">
        <v>0</v>
      </c>
    </row>
    <row r="69" spans="1:8" ht="16.5" customHeight="1">
      <c r="A69" s="41" t="s">
        <v>112</v>
      </c>
      <c r="B69" s="38" t="s">
        <v>101</v>
      </c>
      <c r="C69" s="38" t="s">
        <v>99</v>
      </c>
      <c r="D69" s="38" t="s">
        <v>114</v>
      </c>
      <c r="E69" s="42">
        <v>9117.07</v>
      </c>
      <c r="F69" s="42">
        <v>9117.07</v>
      </c>
      <c r="G69" s="42">
        <v>9117.07</v>
      </c>
      <c r="H69" s="35">
        <v>0</v>
      </c>
    </row>
    <row r="70" spans="1:8" ht="16.5" customHeight="1">
      <c r="A70" s="41" t="s">
        <v>112</v>
      </c>
      <c r="B70" s="38" t="s">
        <v>101</v>
      </c>
      <c r="C70" s="38" t="s">
        <v>99</v>
      </c>
      <c r="D70" s="38" t="s">
        <v>114</v>
      </c>
      <c r="E70" s="42">
        <v>19000</v>
      </c>
      <c r="F70" s="42">
        <v>0</v>
      </c>
      <c r="G70" s="42">
        <v>0</v>
      </c>
      <c r="H70" s="35">
        <v>0</v>
      </c>
    </row>
    <row r="71" spans="1:8" ht="16.5" customHeight="1">
      <c r="A71" s="41" t="s">
        <v>112</v>
      </c>
      <c r="B71" s="38" t="s">
        <v>101</v>
      </c>
      <c r="C71" s="38" t="s">
        <v>99</v>
      </c>
      <c r="D71" s="38" t="s">
        <v>115</v>
      </c>
      <c r="E71" s="42">
        <v>254922.44</v>
      </c>
      <c r="F71" s="42">
        <v>254922.44</v>
      </c>
      <c r="G71" s="42">
        <v>254922.44</v>
      </c>
      <c r="H71" s="35">
        <v>0</v>
      </c>
    </row>
    <row r="72" spans="1:8" ht="16.5" customHeight="1">
      <c r="A72" s="41" t="s">
        <v>112</v>
      </c>
      <c r="B72" s="38" t="s">
        <v>101</v>
      </c>
      <c r="C72" s="38" t="s">
        <v>99</v>
      </c>
      <c r="D72" s="38" t="s">
        <v>115</v>
      </c>
      <c r="E72" s="42">
        <v>510864.25</v>
      </c>
      <c r="F72" s="42">
        <v>267080.24</v>
      </c>
      <c r="G72" s="42">
        <v>306328</v>
      </c>
      <c r="H72" s="35">
        <v>0</v>
      </c>
    </row>
    <row r="73" spans="1:8" ht="16.5" customHeight="1">
      <c r="A73" s="41" t="s">
        <v>112</v>
      </c>
      <c r="B73" s="38" t="s">
        <v>101</v>
      </c>
      <c r="C73" s="38" t="s">
        <v>99</v>
      </c>
      <c r="D73" s="38" t="s">
        <v>115</v>
      </c>
      <c r="E73" s="42">
        <v>6328.73</v>
      </c>
      <c r="F73" s="42">
        <v>0</v>
      </c>
      <c r="G73" s="42">
        <v>0</v>
      </c>
      <c r="H73" s="35">
        <v>0</v>
      </c>
    </row>
    <row r="74" spans="1:8" ht="16.5" customHeight="1">
      <c r="A74" s="41" t="s">
        <v>112</v>
      </c>
      <c r="B74" s="38" t="s">
        <v>101</v>
      </c>
      <c r="C74" s="38" t="s">
        <v>99</v>
      </c>
      <c r="D74" s="38" t="s">
        <v>115</v>
      </c>
      <c r="E74" s="42">
        <v>84170.81</v>
      </c>
      <c r="F74" s="42">
        <v>0</v>
      </c>
      <c r="G74" s="42">
        <v>0</v>
      </c>
      <c r="H74" s="35">
        <v>0</v>
      </c>
    </row>
    <row r="75" spans="1:8" ht="16.5" customHeight="1">
      <c r="A75" s="41" t="s">
        <v>112</v>
      </c>
      <c r="B75" s="38" t="s">
        <v>101</v>
      </c>
      <c r="C75" s="38" t="s">
        <v>99</v>
      </c>
      <c r="D75" s="38" t="s">
        <v>115</v>
      </c>
      <c r="E75" s="42">
        <v>36074.959999999999</v>
      </c>
      <c r="F75" s="42">
        <v>0</v>
      </c>
      <c r="G75" s="42">
        <v>0</v>
      </c>
      <c r="H75" s="35">
        <v>0</v>
      </c>
    </row>
    <row r="76" spans="1:8" ht="16.5" customHeight="1">
      <c r="A76" s="41" t="s">
        <v>112</v>
      </c>
      <c r="B76" s="38" t="s">
        <v>101</v>
      </c>
      <c r="C76" s="38" t="s">
        <v>99</v>
      </c>
      <c r="D76" s="38" t="s">
        <v>116</v>
      </c>
      <c r="E76" s="42">
        <v>1029026.4</v>
      </c>
      <c r="F76" s="42">
        <v>1029026.4</v>
      </c>
      <c r="G76" s="42">
        <v>1029026.4</v>
      </c>
      <c r="H76" s="35">
        <v>0</v>
      </c>
    </row>
    <row r="77" spans="1:8" ht="16.5" customHeight="1">
      <c r="A77" s="36" t="s">
        <v>117</v>
      </c>
      <c r="B77" s="37" t="s">
        <v>118</v>
      </c>
      <c r="C77" s="37" t="s">
        <v>119</v>
      </c>
      <c r="D77" s="38" t="s">
        <v>37</v>
      </c>
      <c r="E77" s="35">
        <v>0</v>
      </c>
      <c r="F77" s="35">
        <v>0</v>
      </c>
      <c r="G77" s="35">
        <v>0</v>
      </c>
      <c r="H77" s="35">
        <v>0</v>
      </c>
    </row>
    <row r="78" spans="1:8" ht="24.75" customHeight="1">
      <c r="A78" s="43" t="s">
        <v>120</v>
      </c>
      <c r="B78" s="34" t="s">
        <v>121</v>
      </c>
      <c r="C78" s="34" t="s">
        <v>122</v>
      </c>
      <c r="D78" s="38" t="s">
        <v>37</v>
      </c>
      <c r="E78" s="35">
        <v>0</v>
      </c>
      <c r="F78" s="35">
        <v>0</v>
      </c>
      <c r="G78" s="35">
        <v>0</v>
      </c>
      <c r="H78" s="35">
        <v>0</v>
      </c>
    </row>
    <row r="79" spans="1:8" ht="16.5" customHeight="1">
      <c r="A79" s="43" t="s">
        <v>123</v>
      </c>
      <c r="B79" s="34" t="s">
        <v>124</v>
      </c>
      <c r="C79" s="34" t="s">
        <v>122</v>
      </c>
      <c r="D79" s="38" t="s">
        <v>37</v>
      </c>
      <c r="E79" s="35">
        <v>0</v>
      </c>
      <c r="F79" s="35">
        <v>0</v>
      </c>
      <c r="G79" s="35">
        <v>0</v>
      </c>
      <c r="H79" s="35">
        <v>0</v>
      </c>
    </row>
    <row r="80" spans="1:8" ht="21.75" customHeight="1">
      <c r="A80" s="43" t="s">
        <v>125</v>
      </c>
      <c r="B80" s="34" t="s">
        <v>126</v>
      </c>
      <c r="C80" s="34" t="s">
        <v>122</v>
      </c>
      <c r="D80" s="38" t="s">
        <v>37</v>
      </c>
      <c r="E80" s="35">
        <v>0</v>
      </c>
      <c r="F80" s="35">
        <v>0</v>
      </c>
      <c r="G80" s="35">
        <v>0</v>
      </c>
      <c r="H80" s="35">
        <v>0</v>
      </c>
    </row>
  </sheetData>
  <mergeCells count="7">
    <mergeCell ref="A1:H1"/>
    <mergeCell ref="A3:A5"/>
    <mergeCell ref="B3:B5"/>
    <mergeCell ref="C3:C5"/>
    <mergeCell ref="D3:D5"/>
    <mergeCell ref="E3:H3"/>
    <mergeCell ref="H4:H5"/>
  </mergeCells>
  <pageMargins left="0.59055118110236238" right="0.51181102362204722" top="0.78740157480314954" bottom="0.31496062992125984" header="0.19685039370078738" footer="0.19685039370078738"/>
  <pageSetup paperSize="9" scale="56" orientation="portrait" r:id="rId1"/>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sheetPr>
  <dimension ref="A1:AI136"/>
  <sheetViews>
    <sheetView tabSelected="1" view="pageBreakPreview" zoomScale="130" zoomScaleNormal="85" zoomScaleSheetLayoutView="130" workbookViewId="0">
      <pane xSplit="5" ySplit="3" topLeftCell="T37" activePane="bottomRight" state="frozen"/>
      <selection pane="topRight" activeCell="F1" sqref="F1"/>
      <selection pane="bottomLeft" activeCell="A4" sqref="A4"/>
      <selection pane="bottomRight" activeCell="E15" sqref="E15:E16"/>
    </sheetView>
  </sheetViews>
  <sheetFormatPr defaultRowHeight="15"/>
  <cols>
    <col min="1" max="1" width="39.5703125" style="44" bestFit="1" customWidth="1"/>
    <col min="2" max="2" width="12.42578125" style="45" bestFit="1" customWidth="1"/>
    <col min="3" max="3" width="21.140625" style="45" bestFit="1" customWidth="1"/>
    <col min="4" max="4" width="16.7109375" style="45" bestFit="1" customWidth="1"/>
    <col min="5" max="5" width="20.140625" style="44" bestFit="1" customWidth="1"/>
    <col min="6" max="6" width="13.7109375" style="582" hidden="1" customWidth="1"/>
    <col min="7" max="7" width="14.42578125" style="582" hidden="1" customWidth="1"/>
    <col min="8" max="19" width="12.85546875" style="582" hidden="1" customWidth="1"/>
    <col min="20" max="20" width="21.28515625" style="44" bestFit="1" customWidth="1"/>
    <col min="21" max="23" width="21.28515625" style="44" hidden="1" bestFit="1" customWidth="1"/>
    <col min="24" max="24" width="20.140625" style="44" bestFit="1" customWidth="1"/>
    <col min="25" max="27" width="18" style="44" hidden="1" bestFit="1" customWidth="1"/>
    <col min="28" max="28" width="16.140625" style="46" bestFit="1" customWidth="1"/>
    <col min="29" max="29" width="12.5703125" style="44" bestFit="1" customWidth="1"/>
    <col min="30" max="30" width="12" style="44" bestFit="1" customWidth="1"/>
    <col min="31" max="31" width="11.28515625" style="44" bestFit="1" customWidth="1"/>
    <col min="32" max="32" width="14.42578125" style="44" bestFit="1" customWidth="1"/>
    <col min="33" max="33" width="17.5703125" style="44" bestFit="1" customWidth="1"/>
    <col min="34" max="34" width="13" style="44" bestFit="1" customWidth="1"/>
    <col min="35" max="35" width="9.140625" style="44" bestFit="1"/>
    <col min="36" max="16384" width="9.140625" style="44"/>
  </cols>
  <sheetData>
    <row r="1" spans="1:28" ht="18.75" customHeight="1">
      <c r="A1" s="743" t="s">
        <v>9</v>
      </c>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743"/>
    </row>
    <row r="2" spans="1:28" ht="15.75" customHeight="1" thickBot="1">
      <c r="A2" s="695" t="s">
        <v>10</v>
      </c>
      <c r="B2" s="695" t="s">
        <v>11</v>
      </c>
      <c r="C2" s="695" t="s">
        <v>12</v>
      </c>
      <c r="D2" s="695" t="s">
        <v>13</v>
      </c>
      <c r="E2" s="695" t="s">
        <v>14</v>
      </c>
      <c r="F2" s="695"/>
      <c r="G2" s="695"/>
      <c r="H2" s="695"/>
      <c r="I2" s="695"/>
      <c r="J2" s="695"/>
      <c r="K2" s="695"/>
      <c r="L2" s="695"/>
      <c r="M2" s="695"/>
      <c r="N2" s="695"/>
      <c r="O2" s="709"/>
      <c r="P2" s="709"/>
      <c r="Q2" s="709"/>
      <c r="R2" s="695"/>
      <c r="S2" s="695"/>
      <c r="T2" s="695"/>
      <c r="U2" s="695"/>
      <c r="V2" s="695"/>
      <c r="W2" s="695"/>
      <c r="X2" s="695"/>
      <c r="Y2" s="695"/>
      <c r="Z2" s="695"/>
      <c r="AA2" s="695"/>
      <c r="AB2" s="695"/>
    </row>
    <row r="3" spans="1:28" s="180" customFormat="1" ht="15.75" customHeight="1">
      <c r="A3" s="695"/>
      <c r="B3" s="695"/>
      <c r="C3" s="695"/>
      <c r="D3" s="695"/>
      <c r="E3" s="709" t="s">
        <v>787</v>
      </c>
      <c r="F3" s="747" t="s">
        <v>836</v>
      </c>
      <c r="G3" s="748"/>
      <c r="H3" s="749"/>
      <c r="I3" s="752" t="s">
        <v>837</v>
      </c>
      <c r="J3" s="753"/>
      <c r="K3" s="754"/>
      <c r="L3" s="752" t="s">
        <v>839</v>
      </c>
      <c r="M3" s="753"/>
      <c r="N3" s="753"/>
      <c r="O3" s="755" t="s">
        <v>840</v>
      </c>
      <c r="P3" s="756"/>
      <c r="Q3" s="757"/>
      <c r="R3" s="583"/>
      <c r="S3" s="583"/>
      <c r="T3" s="709" t="s">
        <v>788</v>
      </c>
      <c r="U3" s="522"/>
      <c r="V3" s="522"/>
      <c r="W3" s="522"/>
      <c r="X3" s="522"/>
      <c r="Y3" s="522"/>
      <c r="Z3" s="522"/>
      <c r="AA3" s="522"/>
      <c r="AB3" s="522"/>
    </row>
    <row r="4" spans="1:28" ht="45">
      <c r="A4" s="695"/>
      <c r="B4" s="695"/>
      <c r="C4" s="695"/>
      <c r="D4" s="695"/>
      <c r="E4" s="710"/>
      <c r="F4" s="584" t="s">
        <v>834</v>
      </c>
      <c r="G4" s="584" t="s">
        <v>832</v>
      </c>
      <c r="H4" s="584" t="s">
        <v>833</v>
      </c>
      <c r="I4" s="585" t="s">
        <v>834</v>
      </c>
      <c r="J4" s="585" t="s">
        <v>832</v>
      </c>
      <c r="K4" s="585" t="s">
        <v>833</v>
      </c>
      <c r="L4" s="585" t="s">
        <v>834</v>
      </c>
      <c r="M4" s="585" t="s">
        <v>832</v>
      </c>
      <c r="N4" s="623" t="s">
        <v>833</v>
      </c>
      <c r="O4" s="663" t="s">
        <v>834</v>
      </c>
      <c r="P4" s="585" t="s">
        <v>832</v>
      </c>
      <c r="Q4" s="664" t="s">
        <v>833</v>
      </c>
      <c r="R4" s="643"/>
      <c r="S4" s="585"/>
      <c r="T4" s="710"/>
      <c r="U4" s="429">
        <v>2</v>
      </c>
      <c r="V4" s="429">
        <v>4</v>
      </c>
      <c r="W4" s="429">
        <v>5</v>
      </c>
      <c r="X4" s="411" t="s">
        <v>789</v>
      </c>
      <c r="Y4" s="429">
        <v>2</v>
      </c>
      <c r="Z4" s="429">
        <v>4</v>
      </c>
      <c r="AA4" s="429">
        <v>5</v>
      </c>
      <c r="AB4" s="412" t="s">
        <v>18</v>
      </c>
    </row>
    <row r="5" spans="1:28">
      <c r="A5" s="411">
        <v>1</v>
      </c>
      <c r="B5" s="411">
        <v>2</v>
      </c>
      <c r="C5" s="411">
        <v>3</v>
      </c>
      <c r="D5" s="411">
        <v>4</v>
      </c>
      <c r="E5" s="411">
        <v>5</v>
      </c>
      <c r="F5" s="584"/>
      <c r="G5" s="584"/>
      <c r="H5" s="584"/>
      <c r="I5" s="584"/>
      <c r="J5" s="584"/>
      <c r="K5" s="584"/>
      <c r="L5" s="584"/>
      <c r="M5" s="584"/>
      <c r="N5" s="615"/>
      <c r="O5" s="685">
        <f t="shared" ref="O5:O68" si="0">P5++Q5</f>
        <v>0</v>
      </c>
      <c r="P5" s="584"/>
      <c r="Q5" s="665"/>
      <c r="R5" s="616"/>
      <c r="S5" s="584"/>
      <c r="T5" s="411">
        <v>6</v>
      </c>
      <c r="U5" s="429"/>
      <c r="V5" s="429"/>
      <c r="W5" s="429"/>
      <c r="X5" s="411">
        <v>7</v>
      </c>
      <c r="Y5" s="429"/>
      <c r="Z5" s="429"/>
      <c r="AA5" s="429"/>
      <c r="AB5" s="47">
        <v>8</v>
      </c>
    </row>
    <row r="6" spans="1:28">
      <c r="A6" s="734" t="s">
        <v>30</v>
      </c>
      <c r="B6" s="744" t="s">
        <v>31</v>
      </c>
      <c r="C6" s="695" t="s">
        <v>32</v>
      </c>
      <c r="D6" s="695" t="s">
        <v>32</v>
      </c>
      <c r="E6" s="745">
        <f>F6</f>
        <v>1532575.99</v>
      </c>
      <c r="F6" s="750">
        <f>G6+H6</f>
        <v>1532575.99</v>
      </c>
      <c r="G6" s="750">
        <f>890702+268992.51</f>
        <v>1159694.51</v>
      </c>
      <c r="H6" s="750">
        <v>372881.48</v>
      </c>
      <c r="I6" s="586"/>
      <c r="J6" s="586"/>
      <c r="K6" s="586"/>
      <c r="L6" s="586"/>
      <c r="M6" s="586"/>
      <c r="N6" s="624"/>
      <c r="O6" s="685">
        <f t="shared" si="0"/>
        <v>0</v>
      </c>
      <c r="P6" s="617"/>
      <c r="Q6" s="666"/>
      <c r="R6" s="644"/>
      <c r="S6" s="586"/>
      <c r="T6" s="746" t="s">
        <v>127</v>
      </c>
      <c r="U6" s="519"/>
      <c r="V6" s="519"/>
      <c r="W6" s="519"/>
      <c r="X6" s="746" t="s">
        <v>127</v>
      </c>
      <c r="Y6" s="49"/>
      <c r="Z6" s="49"/>
      <c r="AA6" s="49"/>
      <c r="AB6" s="696" t="s">
        <v>127</v>
      </c>
    </row>
    <row r="7" spans="1:28">
      <c r="A7" s="734"/>
      <c r="B7" s="744"/>
      <c r="C7" s="695"/>
      <c r="D7" s="695"/>
      <c r="E7" s="745"/>
      <c r="F7" s="751"/>
      <c r="G7" s="751"/>
      <c r="H7" s="751"/>
      <c r="I7" s="587"/>
      <c r="J7" s="587"/>
      <c r="K7" s="587"/>
      <c r="L7" s="587"/>
      <c r="M7" s="587"/>
      <c r="N7" s="625"/>
      <c r="O7" s="685">
        <f t="shared" si="0"/>
        <v>0</v>
      </c>
      <c r="P7" s="618"/>
      <c r="Q7" s="667"/>
      <c r="R7" s="645"/>
      <c r="S7" s="587"/>
      <c r="T7" s="746"/>
      <c r="U7" s="519"/>
      <c r="V7" s="519"/>
      <c r="W7" s="519"/>
      <c r="X7" s="746"/>
      <c r="Y7" s="49"/>
      <c r="Z7" s="49"/>
      <c r="AA7" s="49"/>
      <c r="AB7" s="696"/>
    </row>
    <row r="8" spans="1:28" s="180" customFormat="1" ht="15.75">
      <c r="A8" s="413"/>
      <c r="B8" s="414"/>
      <c r="C8" s="411"/>
      <c r="D8" s="411"/>
      <c r="E8" s="415"/>
      <c r="F8" s="588"/>
      <c r="G8" s="588"/>
      <c r="H8" s="588"/>
      <c r="I8" s="588"/>
      <c r="J8" s="588"/>
      <c r="K8" s="588"/>
      <c r="L8" s="588"/>
      <c r="M8" s="588"/>
      <c r="N8" s="626"/>
      <c r="O8" s="685">
        <f t="shared" si="0"/>
        <v>0</v>
      </c>
      <c r="P8" s="588"/>
      <c r="Q8" s="668"/>
      <c r="R8" s="646"/>
      <c r="S8" s="588"/>
      <c r="T8" s="268"/>
      <c r="U8" s="269"/>
      <c r="V8" s="269"/>
      <c r="W8" s="269"/>
      <c r="X8" s="268"/>
      <c r="Y8" s="270"/>
      <c r="Z8" s="270"/>
      <c r="AA8" s="270"/>
      <c r="AB8" s="271"/>
    </row>
    <row r="9" spans="1:28" s="180" customFormat="1" ht="22.5" customHeight="1">
      <c r="A9" s="198"/>
      <c r="B9" s="198"/>
      <c r="C9" s="198"/>
      <c r="D9" s="198"/>
      <c r="E9" s="198"/>
      <c r="F9" s="588"/>
      <c r="G9" s="588"/>
      <c r="H9" s="588"/>
      <c r="I9" s="588"/>
      <c r="J9" s="588"/>
      <c r="K9" s="588"/>
      <c r="L9" s="588"/>
      <c r="M9" s="588"/>
      <c r="N9" s="626"/>
      <c r="O9" s="685">
        <f t="shared" si="0"/>
        <v>0</v>
      </c>
      <c r="P9" s="588"/>
      <c r="Q9" s="668"/>
      <c r="R9" s="646"/>
      <c r="S9" s="588"/>
      <c r="T9" s="279"/>
      <c r="U9" s="48"/>
      <c r="V9" s="48"/>
      <c r="W9" s="48"/>
      <c r="X9" s="198"/>
      <c r="Y9" s="198"/>
      <c r="Z9" s="198"/>
      <c r="AA9" s="198"/>
      <c r="AB9" s="198"/>
    </row>
    <row r="10" spans="1:28" s="180" customFormat="1" ht="30.75" customHeight="1">
      <c r="A10" s="432" t="s">
        <v>33</v>
      </c>
      <c r="B10" s="280" t="s">
        <v>34</v>
      </c>
      <c r="C10" s="431" t="s">
        <v>32</v>
      </c>
      <c r="D10" s="431" t="s">
        <v>32</v>
      </c>
      <c r="E10" s="281" t="s">
        <v>127</v>
      </c>
      <c r="F10" s="589"/>
      <c r="G10" s="589"/>
      <c r="H10" s="589"/>
      <c r="I10" s="589"/>
      <c r="J10" s="589"/>
      <c r="K10" s="589"/>
      <c r="L10" s="589"/>
      <c r="M10" s="589"/>
      <c r="N10" s="627"/>
      <c r="O10" s="685">
        <f t="shared" si="0"/>
        <v>0</v>
      </c>
      <c r="P10" s="589"/>
      <c r="Q10" s="669"/>
      <c r="R10" s="647"/>
      <c r="S10" s="589"/>
      <c r="T10" s="425" t="s">
        <v>127</v>
      </c>
      <c r="U10" s="278"/>
      <c r="V10" s="278"/>
      <c r="W10" s="278"/>
      <c r="X10" s="281" t="s">
        <v>127</v>
      </c>
      <c r="Y10" s="282"/>
      <c r="Z10" s="282"/>
      <c r="AA10" s="282"/>
      <c r="AB10" s="281" t="s">
        <v>127</v>
      </c>
    </row>
    <row r="11" spans="1:28" s="50" customFormat="1">
      <c r="A11" s="427" t="s">
        <v>35</v>
      </c>
      <c r="B11" s="419">
        <v>1000</v>
      </c>
      <c r="C11" s="419" t="s">
        <v>128</v>
      </c>
      <c r="D11" s="419" t="s">
        <v>128</v>
      </c>
      <c r="E11" s="420">
        <f>E15+E21+E27</f>
        <v>76517404.700000003</v>
      </c>
      <c r="F11" s="575"/>
      <c r="G11" s="575"/>
      <c r="H11" s="575"/>
      <c r="I11" s="575"/>
      <c r="J11" s="575"/>
      <c r="K11" s="575"/>
      <c r="L11" s="575"/>
      <c r="M11" s="575"/>
      <c r="N11" s="628"/>
      <c r="O11" s="685">
        <f t="shared" si="0"/>
        <v>0</v>
      </c>
      <c r="P11" s="575"/>
      <c r="Q11" s="670"/>
      <c r="R11" s="648"/>
      <c r="S11" s="575"/>
      <c r="T11" s="420">
        <f>T15+T21+T27</f>
        <v>62676502.950000003</v>
      </c>
      <c r="U11" s="51">
        <f>U15</f>
        <v>0</v>
      </c>
      <c r="V11" s="51" t="str">
        <f>V15</f>
        <v>2021 год</v>
      </c>
      <c r="W11" s="51">
        <v>4800</v>
      </c>
      <c r="X11" s="420">
        <f>X15+X21+X27</f>
        <v>57839751.079999998</v>
      </c>
      <c r="Y11" s="51">
        <f>Y15</f>
        <v>12701250</v>
      </c>
      <c r="Z11" s="51">
        <f>Z15</f>
        <v>46636352.270000003</v>
      </c>
      <c r="AA11" s="51">
        <f>AA24</f>
        <v>7200</v>
      </c>
      <c r="AB11" s="421" t="s">
        <v>127</v>
      </c>
    </row>
    <row r="12" spans="1:28" s="257" customFormat="1" hidden="1">
      <c r="A12" s="273" t="s">
        <v>41</v>
      </c>
      <c r="B12" s="275"/>
      <c r="C12" s="275"/>
      <c r="D12" s="275"/>
      <c r="E12" s="275"/>
      <c r="F12" s="590"/>
      <c r="G12" s="590"/>
      <c r="H12" s="590"/>
      <c r="I12" s="590"/>
      <c r="J12" s="590"/>
      <c r="K12" s="590"/>
      <c r="L12" s="590"/>
      <c r="M12" s="590"/>
      <c r="N12" s="629"/>
      <c r="O12" s="685">
        <f t="shared" si="0"/>
        <v>0</v>
      </c>
      <c r="P12" s="590"/>
      <c r="Q12" s="671"/>
      <c r="R12" s="649"/>
      <c r="S12" s="590"/>
      <c r="T12" s="275"/>
      <c r="U12" s="275"/>
      <c r="V12" s="275"/>
      <c r="W12" s="275"/>
      <c r="X12" s="275"/>
      <c r="Y12" s="275"/>
      <c r="Z12" s="275"/>
      <c r="AA12" s="275"/>
      <c r="AB12" s="277"/>
    </row>
    <row r="13" spans="1:28" ht="30">
      <c r="A13" s="413" t="s">
        <v>690</v>
      </c>
      <c r="B13" s="411">
        <v>1100</v>
      </c>
      <c r="C13" s="411">
        <v>120</v>
      </c>
      <c r="D13" s="411" t="s">
        <v>32</v>
      </c>
      <c r="E13" s="412" t="s">
        <v>127</v>
      </c>
      <c r="F13" s="584"/>
      <c r="G13" s="584"/>
      <c r="H13" s="584"/>
      <c r="I13" s="584"/>
      <c r="J13" s="584"/>
      <c r="K13" s="584"/>
      <c r="L13" s="584"/>
      <c r="M13" s="584"/>
      <c r="N13" s="615"/>
      <c r="O13" s="685">
        <f t="shared" si="0"/>
        <v>0</v>
      </c>
      <c r="P13" s="584"/>
      <c r="Q13" s="665"/>
      <c r="R13" s="616"/>
      <c r="S13" s="584"/>
      <c r="T13" s="412" t="s">
        <v>127</v>
      </c>
      <c r="U13" s="429"/>
      <c r="V13" s="429"/>
      <c r="W13" s="429"/>
      <c r="X13" s="412" t="s">
        <v>127</v>
      </c>
      <c r="Y13" s="429"/>
      <c r="Z13" s="429"/>
      <c r="AA13" s="429"/>
      <c r="AB13" s="412" t="s">
        <v>127</v>
      </c>
    </row>
    <row r="14" spans="1:28">
      <c r="A14" s="413" t="s">
        <v>41</v>
      </c>
      <c r="B14" s="411">
        <v>1110</v>
      </c>
      <c r="C14" s="411" t="s">
        <v>32</v>
      </c>
      <c r="D14" s="411" t="s">
        <v>32</v>
      </c>
      <c r="E14" s="411" t="s">
        <v>32</v>
      </c>
      <c r="F14" s="584"/>
      <c r="G14" s="584"/>
      <c r="H14" s="584"/>
      <c r="I14" s="584"/>
      <c r="J14" s="584"/>
      <c r="K14" s="584"/>
      <c r="L14" s="584"/>
      <c r="M14" s="584"/>
      <c r="N14" s="615"/>
      <c r="O14" s="685">
        <f t="shared" si="0"/>
        <v>0</v>
      </c>
      <c r="P14" s="584"/>
      <c r="Q14" s="665"/>
      <c r="R14" s="616"/>
      <c r="S14" s="584"/>
      <c r="T14" s="411" t="s">
        <v>32</v>
      </c>
      <c r="U14" s="429"/>
      <c r="V14" s="429"/>
      <c r="W14" s="429"/>
      <c r="X14" s="411" t="s">
        <v>32</v>
      </c>
      <c r="Y14" s="429"/>
      <c r="Z14" s="429"/>
      <c r="AA14" s="429"/>
      <c r="AB14" s="412" t="s">
        <v>32</v>
      </c>
    </row>
    <row r="15" spans="1:28">
      <c r="A15" s="734" t="s">
        <v>38</v>
      </c>
      <c r="B15" s="695">
        <v>1200</v>
      </c>
      <c r="C15" s="695">
        <v>130</v>
      </c>
      <c r="D15" s="695" t="s">
        <v>32</v>
      </c>
      <c r="E15" s="741">
        <f>E17+11490000+P16+M16-540000</f>
        <v>75977404.700000003</v>
      </c>
      <c r="F15" s="591"/>
      <c r="G15" s="591"/>
      <c r="H15" s="591"/>
      <c r="I15" s="591"/>
      <c r="J15" s="591"/>
      <c r="K15" s="591"/>
      <c r="L15" s="591"/>
      <c r="M15" s="591"/>
      <c r="N15" s="630"/>
      <c r="O15" s="685">
        <f t="shared" si="0"/>
        <v>0</v>
      </c>
      <c r="P15" s="591"/>
      <c r="Q15" s="672"/>
      <c r="R15" s="650"/>
      <c r="S15" s="591"/>
      <c r="T15" s="717">
        <f>T17+11490000</f>
        <v>62676502.950000003</v>
      </c>
      <c r="U15" s="713"/>
      <c r="V15" s="713" t="str">
        <f>[1]Лист12!G299</f>
        <v>2021 год</v>
      </c>
      <c r="W15" s="713"/>
      <c r="X15" s="717">
        <f>X17+11490000</f>
        <v>57839751.079999998</v>
      </c>
      <c r="Y15" s="713">
        <f>[1]Лист12!H302</f>
        <v>12701250</v>
      </c>
      <c r="Z15" s="713">
        <f>[1]Лист12!H301</f>
        <v>46636352.270000003</v>
      </c>
      <c r="AA15" s="713"/>
      <c r="AB15" s="696" t="s">
        <v>127</v>
      </c>
    </row>
    <row r="16" spans="1:28" ht="30" customHeight="1">
      <c r="A16" s="734"/>
      <c r="B16" s="695"/>
      <c r="C16" s="695"/>
      <c r="D16" s="695"/>
      <c r="E16" s="742">
        <f t="shared" ref="E16" si="1">50522159.64+11490000</f>
        <v>62012159.640000001</v>
      </c>
      <c r="F16" s="591"/>
      <c r="G16" s="591"/>
      <c r="H16" s="591"/>
      <c r="I16" s="591"/>
      <c r="J16" s="591"/>
      <c r="K16" s="591"/>
      <c r="L16" s="591">
        <f>M16+N16</f>
        <v>100000</v>
      </c>
      <c r="M16" s="591">
        <v>100000</v>
      </c>
      <c r="N16" s="630"/>
      <c r="O16" s="685">
        <f t="shared" si="0"/>
        <v>540000</v>
      </c>
      <c r="P16" s="591">
        <v>540000</v>
      </c>
      <c r="Q16" s="672"/>
      <c r="R16" s="650"/>
      <c r="S16" s="591"/>
      <c r="T16" s="717">
        <f t="shared" ref="T16" si="2">42206072.04+11490000</f>
        <v>53696072.039999999</v>
      </c>
      <c r="U16" s="713"/>
      <c r="V16" s="713">
        <f>[1]Лист12!G300</f>
        <v>4800</v>
      </c>
      <c r="W16" s="713"/>
      <c r="X16" s="717">
        <f t="shared" ref="X16" si="3">41798874.44+11490000</f>
        <v>53288874.439999998</v>
      </c>
      <c r="Y16" s="713"/>
      <c r="Z16" s="713"/>
      <c r="AA16" s="713"/>
      <c r="AB16" s="696"/>
    </row>
    <row r="17" spans="1:29" ht="90">
      <c r="A17" s="413" t="s">
        <v>675</v>
      </c>
      <c r="B17" s="411">
        <v>1210</v>
      </c>
      <c r="C17" s="411">
        <v>130</v>
      </c>
      <c r="D17" s="415" t="s">
        <v>32</v>
      </c>
      <c r="E17" s="417">
        <v>64387404.700000003</v>
      </c>
      <c r="F17" s="591"/>
      <c r="G17" s="591"/>
      <c r="H17" s="591"/>
      <c r="I17" s="591"/>
      <c r="J17" s="591"/>
      <c r="K17" s="591"/>
      <c r="L17" s="591"/>
      <c r="M17" s="591"/>
      <c r="N17" s="630"/>
      <c r="O17" s="685">
        <f t="shared" si="0"/>
        <v>0</v>
      </c>
      <c r="P17" s="591"/>
      <c r="Q17" s="672"/>
      <c r="R17" s="650"/>
      <c r="S17" s="591"/>
      <c r="T17" s="417">
        <v>51186502.950000003</v>
      </c>
      <c r="U17" s="416"/>
      <c r="V17" s="416">
        <f>[1]Лист12!G301</f>
        <v>46508233.899999999</v>
      </c>
      <c r="W17" s="416"/>
      <c r="X17" s="417">
        <v>46349751.079999998</v>
      </c>
      <c r="Y17" s="416"/>
      <c r="Z17" s="416">
        <f>[1]Лист12!H301</f>
        <v>46636352.270000003</v>
      </c>
      <c r="AA17" s="416"/>
      <c r="AB17" s="412" t="s">
        <v>127</v>
      </c>
    </row>
    <row r="18" spans="1:29" ht="29.25" customHeight="1">
      <c r="A18" s="413" t="s">
        <v>129</v>
      </c>
      <c r="B18" s="411">
        <v>1300</v>
      </c>
      <c r="C18" s="411">
        <v>140</v>
      </c>
      <c r="D18" s="415" t="s">
        <v>32</v>
      </c>
      <c r="E18" s="417" t="s">
        <v>127</v>
      </c>
      <c r="F18" s="591"/>
      <c r="G18" s="591"/>
      <c r="H18" s="591"/>
      <c r="I18" s="591"/>
      <c r="J18" s="591"/>
      <c r="K18" s="591"/>
      <c r="L18" s="591"/>
      <c r="M18" s="591"/>
      <c r="N18" s="630"/>
      <c r="O18" s="685">
        <f t="shared" si="0"/>
        <v>0</v>
      </c>
      <c r="P18" s="591"/>
      <c r="Q18" s="672"/>
      <c r="R18" s="650"/>
      <c r="S18" s="591"/>
      <c r="T18" s="417" t="s">
        <v>127</v>
      </c>
      <c r="U18" s="416"/>
      <c r="V18" s="416"/>
      <c r="W18" s="416"/>
      <c r="X18" s="417" t="s">
        <v>127</v>
      </c>
      <c r="Y18" s="416"/>
      <c r="Z18" s="416"/>
      <c r="AA18" s="416"/>
      <c r="AB18" s="412" t="s">
        <v>127</v>
      </c>
    </row>
    <row r="19" spans="1:29" ht="12" customHeight="1">
      <c r="A19" s="734" t="s">
        <v>41</v>
      </c>
      <c r="B19" s="695">
        <v>1310</v>
      </c>
      <c r="C19" s="695">
        <v>140</v>
      </c>
      <c r="D19" s="695" t="s">
        <v>32</v>
      </c>
      <c r="E19" s="715" t="s">
        <v>32</v>
      </c>
      <c r="F19" s="591"/>
      <c r="G19" s="591"/>
      <c r="H19" s="591"/>
      <c r="I19" s="591"/>
      <c r="J19" s="591"/>
      <c r="K19" s="591"/>
      <c r="L19" s="591"/>
      <c r="M19" s="591"/>
      <c r="N19" s="630"/>
      <c r="O19" s="685">
        <f t="shared" si="0"/>
        <v>0</v>
      </c>
      <c r="P19" s="591"/>
      <c r="Q19" s="672"/>
      <c r="R19" s="650"/>
      <c r="S19" s="591"/>
      <c r="T19" s="717" t="s">
        <v>32</v>
      </c>
      <c r="U19" s="416"/>
      <c r="V19" s="416"/>
      <c r="W19" s="416"/>
      <c r="X19" s="717" t="s">
        <v>32</v>
      </c>
      <c r="Y19" s="416"/>
      <c r="Z19" s="416"/>
      <c r="AA19" s="416"/>
      <c r="AB19" s="696" t="s">
        <v>32</v>
      </c>
    </row>
    <row r="20" spans="1:29">
      <c r="A20" s="734"/>
      <c r="B20" s="695"/>
      <c r="C20" s="695"/>
      <c r="D20" s="695"/>
      <c r="E20" s="716"/>
      <c r="F20" s="591"/>
      <c r="G20" s="591"/>
      <c r="H20" s="591"/>
      <c r="I20" s="591"/>
      <c r="J20" s="591"/>
      <c r="K20" s="591"/>
      <c r="L20" s="591"/>
      <c r="M20" s="591"/>
      <c r="N20" s="630"/>
      <c r="O20" s="685">
        <f t="shared" si="0"/>
        <v>0</v>
      </c>
      <c r="P20" s="591"/>
      <c r="Q20" s="672"/>
      <c r="R20" s="650"/>
      <c r="S20" s="591"/>
      <c r="T20" s="717"/>
      <c r="U20" s="416"/>
      <c r="V20" s="416"/>
      <c r="W20" s="416"/>
      <c r="X20" s="717"/>
      <c r="Y20" s="416"/>
      <c r="Z20" s="416"/>
      <c r="AA20" s="416"/>
      <c r="AB20" s="696"/>
    </row>
    <row r="21" spans="1:29" s="50" customFormat="1" ht="30">
      <c r="A21" s="427" t="s">
        <v>130</v>
      </c>
      <c r="B21" s="419">
        <v>1400</v>
      </c>
      <c r="C21" s="419">
        <v>150</v>
      </c>
      <c r="D21" s="420" t="s">
        <v>32</v>
      </c>
      <c r="E21" s="422">
        <v>540000</v>
      </c>
      <c r="F21" s="576"/>
      <c r="G21" s="576"/>
      <c r="H21" s="576"/>
      <c r="I21" s="576"/>
      <c r="J21" s="576"/>
      <c r="K21" s="576"/>
      <c r="L21" s="576"/>
      <c r="M21" s="576"/>
      <c r="N21" s="631"/>
      <c r="O21" s="685">
        <f t="shared" si="0"/>
        <v>0</v>
      </c>
      <c r="P21" s="576"/>
      <c r="Q21" s="673"/>
      <c r="R21" s="651"/>
      <c r="S21" s="576"/>
      <c r="T21" s="422">
        <f>T22</f>
        <v>0</v>
      </c>
      <c r="U21" s="424"/>
      <c r="V21" s="424"/>
      <c r="W21" s="424"/>
      <c r="X21" s="422">
        <f>X22</f>
        <v>0</v>
      </c>
      <c r="Y21" s="424"/>
      <c r="Z21" s="424"/>
      <c r="AA21" s="424"/>
      <c r="AB21" s="421" t="s">
        <v>127</v>
      </c>
    </row>
    <row r="22" spans="1:29" ht="30" customHeight="1">
      <c r="A22" s="413" t="s">
        <v>676</v>
      </c>
      <c r="B22" s="411">
        <v>1410</v>
      </c>
      <c r="C22" s="411">
        <v>150</v>
      </c>
      <c r="D22" s="415" t="s">
        <v>32</v>
      </c>
      <c r="E22" s="417">
        <v>0</v>
      </c>
      <c r="F22" s="591"/>
      <c r="G22" s="591"/>
      <c r="H22" s="591"/>
      <c r="I22" s="591"/>
      <c r="J22" s="591"/>
      <c r="K22" s="591"/>
      <c r="L22" s="591"/>
      <c r="M22" s="591"/>
      <c r="N22" s="630"/>
      <c r="O22" s="685">
        <f t="shared" si="0"/>
        <v>0</v>
      </c>
      <c r="P22" s="591"/>
      <c r="Q22" s="672"/>
      <c r="R22" s="650"/>
      <c r="S22" s="591"/>
      <c r="T22" s="417">
        <v>0</v>
      </c>
      <c r="U22" s="416"/>
      <c r="V22" s="416"/>
      <c r="W22" s="416"/>
      <c r="X22" s="417">
        <v>0</v>
      </c>
      <c r="Y22" s="416"/>
      <c r="Z22" s="416"/>
      <c r="AA22" s="416"/>
      <c r="AB22" s="412" t="s">
        <v>127</v>
      </c>
      <c r="AC22" s="54"/>
    </row>
    <row r="23" spans="1:29" ht="31.5" customHeight="1">
      <c r="A23" s="413" t="s">
        <v>131</v>
      </c>
      <c r="B23" s="411">
        <v>1420</v>
      </c>
      <c r="C23" s="411">
        <v>150</v>
      </c>
      <c r="D23" s="415" t="s">
        <v>32</v>
      </c>
      <c r="E23" s="412" t="s">
        <v>127</v>
      </c>
      <c r="F23" s="592"/>
      <c r="G23" s="592"/>
      <c r="H23" s="592"/>
      <c r="I23" s="592"/>
      <c r="J23" s="592"/>
      <c r="K23" s="592"/>
      <c r="L23" s="592"/>
      <c r="M23" s="592"/>
      <c r="N23" s="632"/>
      <c r="O23" s="685">
        <f t="shared" si="0"/>
        <v>0</v>
      </c>
      <c r="P23" s="592"/>
      <c r="Q23" s="674"/>
      <c r="R23" s="652"/>
      <c r="S23" s="592"/>
      <c r="T23" s="412" t="s">
        <v>127</v>
      </c>
      <c r="U23" s="412" t="s">
        <v>127</v>
      </c>
      <c r="V23" s="412" t="s">
        <v>127</v>
      </c>
      <c r="W23" s="412" t="s">
        <v>127</v>
      </c>
      <c r="X23" s="412" t="s">
        <v>127</v>
      </c>
      <c r="Y23" s="412" t="s">
        <v>127</v>
      </c>
      <c r="Z23" s="412" t="s">
        <v>127</v>
      </c>
      <c r="AA23" s="412" t="s">
        <v>127</v>
      </c>
      <c r="AB23" s="412" t="s">
        <v>127</v>
      </c>
      <c r="AC23" s="54"/>
    </row>
    <row r="24" spans="1:29">
      <c r="A24" s="734" t="s">
        <v>132</v>
      </c>
      <c r="B24" s="695">
        <v>1500</v>
      </c>
      <c r="C24" s="695">
        <v>180</v>
      </c>
      <c r="D24" s="695" t="s">
        <v>32</v>
      </c>
      <c r="E24" s="715" t="s">
        <v>127</v>
      </c>
      <c r="F24" s="591"/>
      <c r="G24" s="591"/>
      <c r="H24" s="591"/>
      <c r="I24" s="591"/>
      <c r="J24" s="591"/>
      <c r="K24" s="591"/>
      <c r="L24" s="591"/>
      <c r="M24" s="591"/>
      <c r="N24" s="630"/>
      <c r="O24" s="685">
        <f t="shared" si="0"/>
        <v>0</v>
      </c>
      <c r="P24" s="591"/>
      <c r="Q24" s="672"/>
      <c r="R24" s="650"/>
      <c r="S24" s="591"/>
      <c r="T24" s="717" t="s">
        <v>127</v>
      </c>
      <c r="U24" s="713"/>
      <c r="V24" s="713"/>
      <c r="W24" s="713"/>
      <c r="X24" s="717" t="s">
        <v>127</v>
      </c>
      <c r="Y24" s="713"/>
      <c r="Z24" s="713"/>
      <c r="AA24" s="713">
        <f>[1]Лист12!H300</f>
        <v>7200</v>
      </c>
      <c r="AB24" s="696" t="s">
        <v>127</v>
      </c>
      <c r="AC24" s="54"/>
    </row>
    <row r="25" spans="1:29" ht="8.25" customHeight="1">
      <c r="A25" s="734"/>
      <c r="B25" s="695"/>
      <c r="C25" s="695"/>
      <c r="D25" s="695"/>
      <c r="E25" s="728"/>
      <c r="F25" s="591"/>
      <c r="G25" s="591"/>
      <c r="H25" s="591"/>
      <c r="I25" s="591"/>
      <c r="J25" s="591"/>
      <c r="K25" s="591"/>
      <c r="L25" s="591"/>
      <c r="M25" s="591"/>
      <c r="N25" s="630"/>
      <c r="O25" s="685">
        <f t="shared" si="0"/>
        <v>0</v>
      </c>
      <c r="P25" s="591"/>
      <c r="Q25" s="672"/>
      <c r="R25" s="650"/>
      <c r="S25" s="591"/>
      <c r="T25" s="717"/>
      <c r="U25" s="713"/>
      <c r="V25" s="713"/>
      <c r="W25" s="713"/>
      <c r="X25" s="717"/>
      <c r="Y25" s="713"/>
      <c r="Z25" s="713"/>
      <c r="AA25" s="713"/>
      <c r="AB25" s="696"/>
    </row>
    <row r="26" spans="1:29" ht="23.25" customHeight="1">
      <c r="A26" s="734"/>
      <c r="B26" s="695"/>
      <c r="C26" s="695"/>
      <c r="D26" s="695"/>
      <c r="E26" s="716"/>
      <c r="F26" s="591"/>
      <c r="G26" s="591"/>
      <c r="H26" s="591"/>
      <c r="I26" s="591"/>
      <c r="J26" s="591"/>
      <c r="K26" s="591"/>
      <c r="L26" s="591"/>
      <c r="M26" s="591"/>
      <c r="N26" s="630"/>
      <c r="O26" s="685">
        <f t="shared" si="0"/>
        <v>0</v>
      </c>
      <c r="P26" s="591"/>
      <c r="Q26" s="672"/>
      <c r="R26" s="650"/>
      <c r="S26" s="591"/>
      <c r="T26" s="717"/>
      <c r="U26" s="713"/>
      <c r="V26" s="713"/>
      <c r="W26" s="713"/>
      <c r="X26" s="717"/>
      <c r="Y26" s="713"/>
      <c r="Z26" s="713"/>
      <c r="AA26" s="713"/>
      <c r="AB26" s="696"/>
    </row>
    <row r="27" spans="1:29" ht="14.25" customHeight="1">
      <c r="A27" s="694" t="s">
        <v>677</v>
      </c>
      <c r="B27" s="695">
        <v>1900</v>
      </c>
      <c r="C27" s="695" t="s">
        <v>32</v>
      </c>
      <c r="D27" s="695" t="s">
        <v>32</v>
      </c>
      <c r="E27" s="715">
        <f>E35</f>
        <v>0</v>
      </c>
      <c r="F27" s="593"/>
      <c r="G27" s="593"/>
      <c r="H27" s="593"/>
      <c r="I27" s="593"/>
      <c r="J27" s="593"/>
      <c r="K27" s="593"/>
      <c r="L27" s="593"/>
      <c r="M27" s="593"/>
      <c r="N27" s="619"/>
      <c r="O27" s="685">
        <f t="shared" si="0"/>
        <v>0</v>
      </c>
      <c r="P27" s="593"/>
      <c r="Q27" s="675"/>
      <c r="R27" s="620"/>
      <c r="S27" s="593"/>
      <c r="T27" s="715">
        <f>T35</f>
        <v>0</v>
      </c>
      <c r="U27" s="429"/>
      <c r="V27" s="429"/>
      <c r="W27" s="429"/>
      <c r="X27" s="715">
        <f>X35</f>
        <v>0</v>
      </c>
      <c r="Y27" s="429"/>
      <c r="Z27" s="429"/>
      <c r="AA27" s="429"/>
      <c r="AB27" s="696" t="s">
        <v>127</v>
      </c>
    </row>
    <row r="28" spans="1:29" ht="15.75" customHeight="1">
      <c r="A28" s="694"/>
      <c r="B28" s="695"/>
      <c r="C28" s="695"/>
      <c r="D28" s="695"/>
      <c r="E28" s="716"/>
      <c r="F28" s="585"/>
      <c r="G28" s="585"/>
      <c r="H28" s="585"/>
      <c r="I28" s="585"/>
      <c r="J28" s="585"/>
      <c r="K28" s="585"/>
      <c r="L28" s="585"/>
      <c r="M28" s="585"/>
      <c r="N28" s="623"/>
      <c r="O28" s="685">
        <f t="shared" si="0"/>
        <v>0</v>
      </c>
      <c r="P28" s="585"/>
      <c r="Q28" s="664"/>
      <c r="R28" s="643"/>
      <c r="S28" s="585"/>
      <c r="T28" s="716"/>
      <c r="U28" s="429"/>
      <c r="V28" s="429"/>
      <c r="W28" s="429"/>
      <c r="X28" s="716"/>
      <c r="Y28" s="429"/>
      <c r="Z28" s="429"/>
      <c r="AA28" s="429"/>
      <c r="AB28" s="696"/>
    </row>
    <row r="29" spans="1:29" ht="13.5" customHeight="1">
      <c r="A29" s="694" t="s">
        <v>41</v>
      </c>
      <c r="B29" s="695"/>
      <c r="C29" s="695"/>
      <c r="D29" s="695"/>
      <c r="E29" s="709"/>
      <c r="F29" s="593"/>
      <c r="G29" s="593"/>
      <c r="H29" s="593"/>
      <c r="I29" s="593"/>
      <c r="J29" s="593"/>
      <c r="K29" s="593"/>
      <c r="L29" s="593"/>
      <c r="M29" s="593"/>
      <c r="N29" s="619"/>
      <c r="O29" s="685">
        <f t="shared" si="0"/>
        <v>0</v>
      </c>
      <c r="P29" s="593"/>
      <c r="Q29" s="675"/>
      <c r="R29" s="620"/>
      <c r="S29" s="593"/>
      <c r="T29" s="709"/>
      <c r="U29" s="429"/>
      <c r="V29" s="429"/>
      <c r="W29" s="429"/>
      <c r="X29" s="709"/>
      <c r="Y29" s="429"/>
      <c r="Z29" s="429"/>
      <c r="AA29" s="429"/>
      <c r="AB29" s="696"/>
    </row>
    <row r="30" spans="1:29" ht="3.75" customHeight="1">
      <c r="A30" s="694"/>
      <c r="B30" s="695"/>
      <c r="C30" s="695"/>
      <c r="D30" s="695"/>
      <c r="E30" s="710"/>
      <c r="F30" s="585"/>
      <c r="G30" s="585"/>
      <c r="H30" s="585"/>
      <c r="I30" s="585"/>
      <c r="J30" s="585"/>
      <c r="K30" s="585"/>
      <c r="L30" s="585"/>
      <c r="M30" s="585"/>
      <c r="N30" s="623"/>
      <c r="O30" s="685">
        <f t="shared" si="0"/>
        <v>0</v>
      </c>
      <c r="P30" s="585"/>
      <c r="Q30" s="664"/>
      <c r="R30" s="643"/>
      <c r="S30" s="585"/>
      <c r="T30" s="710"/>
      <c r="U30" s="429"/>
      <c r="V30" s="429"/>
      <c r="W30" s="429"/>
      <c r="X30" s="710"/>
      <c r="Y30" s="429"/>
      <c r="Z30" s="429"/>
      <c r="AA30" s="429"/>
      <c r="AB30" s="696"/>
    </row>
    <row r="31" spans="1:29" ht="2.25" customHeight="1">
      <c r="A31" s="734" t="s">
        <v>133</v>
      </c>
      <c r="B31" s="695">
        <v>1980</v>
      </c>
      <c r="C31" s="695" t="s">
        <v>32</v>
      </c>
      <c r="D31" s="695" t="s">
        <v>32</v>
      </c>
      <c r="E31" s="715">
        <f>E35</f>
        <v>0</v>
      </c>
      <c r="F31" s="593"/>
      <c r="G31" s="593"/>
      <c r="H31" s="593"/>
      <c r="I31" s="593"/>
      <c r="J31" s="593"/>
      <c r="K31" s="593"/>
      <c r="L31" s="593"/>
      <c r="M31" s="593"/>
      <c r="N31" s="619"/>
      <c r="O31" s="685">
        <f t="shared" si="0"/>
        <v>0</v>
      </c>
      <c r="P31" s="593"/>
      <c r="Q31" s="675"/>
      <c r="R31" s="620"/>
      <c r="S31" s="593"/>
      <c r="T31" s="715">
        <f>T35</f>
        <v>0</v>
      </c>
      <c r="U31" s="429"/>
      <c r="V31" s="429"/>
      <c r="W31" s="429"/>
      <c r="X31" s="715">
        <f>X35</f>
        <v>0</v>
      </c>
      <c r="Y31" s="429"/>
      <c r="Z31" s="429"/>
      <c r="AA31" s="429"/>
      <c r="AB31" s="696" t="s">
        <v>127</v>
      </c>
    </row>
    <row r="32" spans="1:29">
      <c r="A32" s="734"/>
      <c r="B32" s="695"/>
      <c r="C32" s="695"/>
      <c r="D32" s="695"/>
      <c r="E32" s="728"/>
      <c r="F32" s="594"/>
      <c r="G32" s="594"/>
      <c r="H32" s="594"/>
      <c r="I32" s="594"/>
      <c r="J32" s="594"/>
      <c r="K32" s="594"/>
      <c r="L32" s="594"/>
      <c r="M32" s="594"/>
      <c r="N32" s="633"/>
      <c r="O32" s="685">
        <f t="shared" si="0"/>
        <v>0</v>
      </c>
      <c r="P32" s="594"/>
      <c r="Q32" s="676"/>
      <c r="R32" s="653"/>
      <c r="S32" s="594"/>
      <c r="T32" s="728"/>
      <c r="U32" s="429"/>
      <c r="V32" s="429"/>
      <c r="W32" s="429"/>
      <c r="X32" s="728"/>
      <c r="Y32" s="429"/>
      <c r="Z32" s="429"/>
      <c r="AA32" s="429"/>
      <c r="AB32" s="696"/>
    </row>
    <row r="33" spans="1:29" ht="8.25" customHeight="1">
      <c r="A33" s="734"/>
      <c r="B33" s="695"/>
      <c r="C33" s="695"/>
      <c r="D33" s="695"/>
      <c r="E33" s="716"/>
      <c r="F33" s="585"/>
      <c r="G33" s="585"/>
      <c r="H33" s="585"/>
      <c r="I33" s="585"/>
      <c r="J33" s="585"/>
      <c r="K33" s="585"/>
      <c r="L33" s="585"/>
      <c r="M33" s="585"/>
      <c r="N33" s="623"/>
      <c r="O33" s="685">
        <f t="shared" si="0"/>
        <v>0</v>
      </c>
      <c r="P33" s="585"/>
      <c r="Q33" s="664"/>
      <c r="R33" s="643"/>
      <c r="S33" s="585"/>
      <c r="T33" s="716"/>
      <c r="U33" s="429"/>
      <c r="V33" s="429"/>
      <c r="W33" s="429"/>
      <c r="X33" s="716"/>
      <c r="Y33" s="429"/>
      <c r="Z33" s="429"/>
      <c r="AA33" s="429"/>
      <c r="AB33" s="696"/>
    </row>
    <row r="34" spans="1:29" s="257" customFormat="1" hidden="1">
      <c r="A34" s="252" t="s">
        <v>134</v>
      </c>
      <c r="B34" s="275" t="s">
        <v>32</v>
      </c>
      <c r="C34" s="253" t="s">
        <v>32</v>
      </c>
      <c r="D34" s="253" t="s">
        <v>32</v>
      </c>
      <c r="E34" s="253" t="s">
        <v>32</v>
      </c>
      <c r="F34" s="584"/>
      <c r="G34" s="584"/>
      <c r="H34" s="584"/>
      <c r="I34" s="584"/>
      <c r="J34" s="584"/>
      <c r="K34" s="584"/>
      <c r="L34" s="584"/>
      <c r="M34" s="584"/>
      <c r="N34" s="615"/>
      <c r="O34" s="685">
        <f t="shared" si="0"/>
        <v>0</v>
      </c>
      <c r="P34" s="584"/>
      <c r="Q34" s="665"/>
      <c r="R34" s="616"/>
      <c r="S34" s="584"/>
      <c r="T34" s="253" t="s">
        <v>32</v>
      </c>
      <c r="U34" s="274"/>
      <c r="V34" s="274"/>
      <c r="W34" s="274"/>
      <c r="X34" s="253" t="s">
        <v>32</v>
      </c>
      <c r="Y34" s="274"/>
      <c r="Z34" s="274"/>
      <c r="AA34" s="274"/>
      <c r="AB34" s="256" t="s">
        <v>32</v>
      </c>
    </row>
    <row r="35" spans="1:29" ht="60" hidden="1">
      <c r="A35" s="246" t="s">
        <v>689</v>
      </c>
      <c r="B35" s="247">
        <v>1981</v>
      </c>
      <c r="C35" s="247">
        <v>510</v>
      </c>
      <c r="D35" s="247" t="s">
        <v>32</v>
      </c>
      <c r="E35" s="248">
        <v>0</v>
      </c>
      <c r="F35" s="584"/>
      <c r="G35" s="584"/>
      <c r="H35" s="584"/>
      <c r="I35" s="584"/>
      <c r="J35" s="584"/>
      <c r="K35" s="584"/>
      <c r="L35" s="584"/>
      <c r="M35" s="584"/>
      <c r="N35" s="615"/>
      <c r="O35" s="685">
        <f t="shared" si="0"/>
        <v>0</v>
      </c>
      <c r="P35" s="584"/>
      <c r="Q35" s="665"/>
      <c r="R35" s="616"/>
      <c r="S35" s="584"/>
      <c r="T35" s="250">
        <v>0</v>
      </c>
      <c r="U35" s="251"/>
      <c r="V35" s="251"/>
      <c r="W35" s="251"/>
      <c r="X35" s="250">
        <v>0</v>
      </c>
      <c r="Y35" s="249"/>
      <c r="Z35" s="249"/>
      <c r="AA35" s="249"/>
      <c r="AB35" s="250" t="s">
        <v>127</v>
      </c>
    </row>
    <row r="36" spans="1:29" ht="46.5" hidden="1" customHeight="1">
      <c r="A36" s="246" t="s">
        <v>135</v>
      </c>
      <c r="B36" s="247">
        <v>1982</v>
      </c>
      <c r="C36" s="247">
        <v>510</v>
      </c>
      <c r="D36" s="247" t="s">
        <v>32</v>
      </c>
      <c r="E36" s="247" t="s">
        <v>127</v>
      </c>
      <c r="F36" s="584"/>
      <c r="G36" s="584"/>
      <c r="H36" s="584"/>
      <c r="I36" s="584"/>
      <c r="J36" s="584"/>
      <c r="K36" s="584"/>
      <c r="L36" s="584"/>
      <c r="M36" s="584"/>
      <c r="N36" s="615"/>
      <c r="O36" s="685">
        <f t="shared" si="0"/>
        <v>0</v>
      </c>
      <c r="P36" s="584"/>
      <c r="Q36" s="665"/>
      <c r="R36" s="616"/>
      <c r="S36" s="584"/>
      <c r="T36" s="247" t="s">
        <v>127</v>
      </c>
      <c r="U36" s="249"/>
      <c r="V36" s="249"/>
      <c r="W36" s="249"/>
      <c r="X36" s="247" t="s">
        <v>127</v>
      </c>
      <c r="Y36" s="249"/>
      <c r="Z36" s="249"/>
      <c r="AA36" s="249"/>
      <c r="AB36" s="250" t="s">
        <v>127</v>
      </c>
      <c r="AC36" s="54"/>
    </row>
    <row r="37" spans="1:29" s="50" customFormat="1">
      <c r="A37" s="735" t="s">
        <v>58</v>
      </c>
      <c r="B37" s="721">
        <v>2000</v>
      </c>
      <c r="C37" s="721" t="s">
        <v>32</v>
      </c>
      <c r="D37" s="721" t="s">
        <v>32</v>
      </c>
      <c r="E37" s="738">
        <f>E39+E70+E94</f>
        <v>77949980.689999998</v>
      </c>
      <c r="F37" s="577"/>
      <c r="G37" s="577"/>
      <c r="H37" s="577"/>
      <c r="I37" s="577"/>
      <c r="J37" s="577"/>
      <c r="K37" s="577"/>
      <c r="L37" s="577"/>
      <c r="M37" s="577"/>
      <c r="N37" s="634"/>
      <c r="O37" s="685">
        <f t="shared" si="0"/>
        <v>0</v>
      </c>
      <c r="P37" s="577"/>
      <c r="Q37" s="677"/>
      <c r="R37" s="654"/>
      <c r="S37" s="577"/>
      <c r="T37" s="740">
        <f>T39+T70+T94</f>
        <v>62676502.950000003</v>
      </c>
      <c r="U37" s="740">
        <f>U39+U70+U94</f>
        <v>32940680.120000001</v>
      </c>
      <c r="V37" s="740">
        <f>V39+V70+V94</f>
        <v>39909283.43</v>
      </c>
      <c r="W37" s="740">
        <f>W39+W70+W94</f>
        <v>30798800.93</v>
      </c>
      <c r="X37" s="740">
        <f>X39+X70+X94</f>
        <v>57839751.079999998</v>
      </c>
      <c r="Y37" s="736" t="e">
        <f>Y39+Y61+Y70+#REF!+Y79</f>
        <v>#REF!</v>
      </c>
      <c r="Z37" s="736" t="e">
        <f>Z39+Z61+Z70+#REF!+Z79</f>
        <v>#REF!</v>
      </c>
      <c r="AA37" s="736" t="e">
        <f>AA39+AA61+AA70+#REF!+AA79</f>
        <v>#REF!</v>
      </c>
      <c r="AB37" s="733" t="s">
        <v>127</v>
      </c>
    </row>
    <row r="38" spans="1:29" s="50" customFormat="1">
      <c r="A38" s="735"/>
      <c r="B38" s="721"/>
      <c r="C38" s="721"/>
      <c r="D38" s="721"/>
      <c r="E38" s="739"/>
      <c r="F38" s="578"/>
      <c r="G38" s="578"/>
      <c r="H38" s="578"/>
      <c r="I38" s="578"/>
      <c r="J38" s="578"/>
      <c r="K38" s="578"/>
      <c r="L38" s="578"/>
      <c r="M38" s="578"/>
      <c r="N38" s="635"/>
      <c r="O38" s="685">
        <f t="shared" si="0"/>
        <v>0</v>
      </c>
      <c r="P38" s="578"/>
      <c r="Q38" s="678"/>
      <c r="R38" s="655"/>
      <c r="S38" s="578"/>
      <c r="T38" s="721"/>
      <c r="U38" s="721"/>
      <c r="V38" s="721"/>
      <c r="W38" s="721"/>
      <c r="X38" s="721"/>
      <c r="Y38" s="737"/>
      <c r="Z38" s="737"/>
      <c r="AA38" s="737"/>
      <c r="AB38" s="733"/>
    </row>
    <row r="39" spans="1:29" s="50" customFormat="1">
      <c r="A39" s="735" t="s">
        <v>678</v>
      </c>
      <c r="B39" s="721">
        <v>2100</v>
      </c>
      <c r="C39" s="721" t="s">
        <v>32</v>
      </c>
      <c r="D39" s="721" t="s">
        <v>32</v>
      </c>
      <c r="E39" s="723">
        <f>E42+E46+E55</f>
        <v>52471182.240000002</v>
      </c>
      <c r="F39" s="579"/>
      <c r="G39" s="579"/>
      <c r="H39" s="579"/>
      <c r="I39" s="579"/>
      <c r="J39" s="579"/>
      <c r="K39" s="579"/>
      <c r="L39" s="579"/>
      <c r="M39" s="579"/>
      <c r="N39" s="636"/>
      <c r="O39" s="685">
        <f t="shared" si="0"/>
        <v>0</v>
      </c>
      <c r="P39" s="579"/>
      <c r="Q39" s="679"/>
      <c r="R39" s="656"/>
      <c r="S39" s="579"/>
      <c r="T39" s="725">
        <f>T42+T46+T55</f>
        <v>39724755.020000003</v>
      </c>
      <c r="U39" s="725">
        <f>U42+U46+U55</f>
        <v>32913410.559999999</v>
      </c>
      <c r="V39" s="725">
        <f>V42+V46+V55</f>
        <v>37800906.619999997</v>
      </c>
      <c r="W39" s="725">
        <f>W42+W46+W55</f>
        <v>30779099.93</v>
      </c>
      <c r="X39" s="725">
        <f>X42+X46+X55</f>
        <v>42659222.850000001</v>
      </c>
      <c r="Y39" s="725">
        <f>Y42+Y44+Y45+Y46+Y55</f>
        <v>7911517.0099999998</v>
      </c>
      <c r="Z39" s="725">
        <f>Z42+Z44+Z45+Z46+Z55</f>
        <v>36435442.5</v>
      </c>
      <c r="AA39" s="725">
        <f>AA42+AA44+AA45+AA46+AA55</f>
        <v>7200</v>
      </c>
      <c r="AB39" s="733" t="s">
        <v>127</v>
      </c>
    </row>
    <row r="40" spans="1:29" s="50" customFormat="1">
      <c r="A40" s="735"/>
      <c r="B40" s="721"/>
      <c r="C40" s="721"/>
      <c r="D40" s="721"/>
      <c r="E40" s="724"/>
      <c r="F40" s="578"/>
      <c r="G40" s="578"/>
      <c r="H40" s="578"/>
      <c r="I40" s="578"/>
      <c r="J40" s="578"/>
      <c r="K40" s="578"/>
      <c r="L40" s="578"/>
      <c r="M40" s="578"/>
      <c r="N40" s="635"/>
      <c r="O40" s="685">
        <f t="shared" si="0"/>
        <v>0</v>
      </c>
      <c r="P40" s="578"/>
      <c r="Q40" s="678"/>
      <c r="R40" s="655"/>
      <c r="S40" s="578"/>
      <c r="T40" s="721"/>
      <c r="U40" s="721"/>
      <c r="V40" s="721"/>
      <c r="W40" s="721"/>
      <c r="X40" s="721"/>
      <c r="Y40" s="721"/>
      <c r="Z40" s="721"/>
      <c r="AA40" s="721"/>
      <c r="AB40" s="733"/>
    </row>
    <row r="41" spans="1:29" s="257" customFormat="1" hidden="1">
      <c r="A41" s="252" t="s">
        <v>41</v>
      </c>
      <c r="B41" s="253" t="s">
        <v>32</v>
      </c>
      <c r="C41" s="253" t="s">
        <v>32</v>
      </c>
      <c r="D41" s="253" t="s">
        <v>32</v>
      </c>
      <c r="E41" s="253" t="s">
        <v>32</v>
      </c>
      <c r="F41" s="599"/>
      <c r="G41" s="599"/>
      <c r="H41" s="599"/>
      <c r="I41" s="599"/>
      <c r="J41" s="599"/>
      <c r="K41" s="599"/>
      <c r="L41" s="599"/>
      <c r="M41" s="599"/>
      <c r="N41" s="637"/>
      <c r="O41" s="685">
        <f t="shared" si="0"/>
        <v>0</v>
      </c>
      <c r="P41" s="599"/>
      <c r="Q41" s="680"/>
      <c r="R41" s="657"/>
      <c r="S41" s="599"/>
      <c r="T41" s="253" t="s">
        <v>32</v>
      </c>
      <c r="U41" s="274"/>
      <c r="V41" s="274"/>
      <c r="W41" s="274"/>
      <c r="X41" s="253" t="s">
        <v>32</v>
      </c>
      <c r="Y41" s="274"/>
      <c r="Z41" s="274"/>
      <c r="AA41" s="274"/>
      <c r="AB41" s="256" t="s">
        <v>32</v>
      </c>
    </row>
    <row r="42" spans="1:29" s="50" customFormat="1">
      <c r="A42" s="735" t="s">
        <v>688</v>
      </c>
      <c r="B42" s="720">
        <v>2110</v>
      </c>
      <c r="C42" s="721">
        <v>111</v>
      </c>
      <c r="D42" s="722" t="s">
        <v>708</v>
      </c>
      <c r="E42" s="723">
        <f>E44+E45</f>
        <v>39645995.810000002</v>
      </c>
      <c r="F42" s="576"/>
      <c r="G42" s="576"/>
      <c r="H42" s="576"/>
      <c r="I42" s="576"/>
      <c r="J42" s="576"/>
      <c r="K42" s="576"/>
      <c r="L42" s="576"/>
      <c r="M42" s="576"/>
      <c r="N42" s="631"/>
      <c r="O42" s="685">
        <f t="shared" si="0"/>
        <v>0</v>
      </c>
      <c r="P42" s="576"/>
      <c r="Q42" s="673"/>
      <c r="R42" s="651"/>
      <c r="S42" s="576"/>
      <c r="T42" s="725">
        <f>T44+T45</f>
        <v>29809968.460000001</v>
      </c>
      <c r="U42" s="725">
        <f>U44+U45</f>
        <v>29314701.91</v>
      </c>
      <c r="V42" s="725">
        <f>V44+V45</f>
        <v>28424163.699999999</v>
      </c>
      <c r="W42" s="725">
        <f>W44+W45</f>
        <v>29649271.91</v>
      </c>
      <c r="X42" s="725">
        <f>X44+X45</f>
        <v>32015747.210000001</v>
      </c>
      <c r="Y42" s="726">
        <f>[1]Лист5!N79</f>
        <v>5207036.58</v>
      </c>
      <c r="Z42" s="726">
        <f>[1]Лист5!N57</f>
        <v>27124887.949999999</v>
      </c>
      <c r="AA42" s="726">
        <v>0</v>
      </c>
      <c r="AB42" s="733" t="s">
        <v>127</v>
      </c>
    </row>
    <row r="43" spans="1:29" s="50" customFormat="1">
      <c r="A43" s="735"/>
      <c r="B43" s="720"/>
      <c r="C43" s="721"/>
      <c r="D43" s="722"/>
      <c r="E43" s="724"/>
      <c r="F43" s="576"/>
      <c r="G43" s="576"/>
      <c r="H43" s="576"/>
      <c r="I43" s="576"/>
      <c r="J43" s="576"/>
      <c r="K43" s="576"/>
      <c r="L43" s="576"/>
      <c r="M43" s="576"/>
      <c r="N43" s="631"/>
      <c r="O43" s="685">
        <f t="shared" si="0"/>
        <v>0</v>
      </c>
      <c r="P43" s="576"/>
      <c r="Q43" s="673"/>
      <c r="R43" s="651"/>
      <c r="S43" s="576"/>
      <c r="T43" s="725"/>
      <c r="U43" s="725"/>
      <c r="V43" s="725"/>
      <c r="W43" s="725"/>
      <c r="X43" s="725"/>
      <c r="Y43" s="726"/>
      <c r="Z43" s="726"/>
      <c r="AA43" s="726"/>
      <c r="AB43" s="733"/>
      <c r="AC43" s="50" t="s">
        <v>705</v>
      </c>
    </row>
    <row r="44" spans="1:29" s="211" customFormat="1" hidden="1">
      <c r="A44" s="296" t="s">
        <v>674</v>
      </c>
      <c r="B44" s="289">
        <v>2111</v>
      </c>
      <c r="C44" s="297">
        <v>111</v>
      </c>
      <c r="D44" s="297">
        <v>211</v>
      </c>
      <c r="E44" s="304">
        <f>37961413.68+F44+I44</f>
        <v>39230997.159999996</v>
      </c>
      <c r="F44" s="576">
        <f>G44+H44</f>
        <v>890702</v>
      </c>
      <c r="G44" s="576">
        <v>890702</v>
      </c>
      <c r="H44" s="576">
        <v>0</v>
      </c>
      <c r="I44" s="576">
        <f>J44+K44</f>
        <v>378881.48</v>
      </c>
      <c r="J44" s="576">
        <v>6000</v>
      </c>
      <c r="K44" s="576">
        <v>372881.48</v>
      </c>
      <c r="L44" s="576">
        <f>M44+N44</f>
        <v>0</v>
      </c>
      <c r="M44" s="576"/>
      <c r="N44" s="631"/>
      <c r="O44" s="685">
        <f t="shared" si="0"/>
        <v>0</v>
      </c>
      <c r="P44" s="576"/>
      <c r="Q44" s="673"/>
      <c r="R44" s="651"/>
      <c r="S44" s="576"/>
      <c r="T44" s="304">
        <v>29736566.350000001</v>
      </c>
      <c r="U44" s="305">
        <v>29228901.91</v>
      </c>
      <c r="V44" s="305">
        <v>28338363.699999999</v>
      </c>
      <c r="W44" s="305">
        <v>29563471.91</v>
      </c>
      <c r="X44" s="304">
        <v>32015747.210000001</v>
      </c>
      <c r="Y44" s="305">
        <v>3000</v>
      </c>
      <c r="Z44" s="305">
        <v>94000</v>
      </c>
      <c r="AA44" s="305">
        <v>0</v>
      </c>
      <c r="AB44" s="301" t="s">
        <v>127</v>
      </c>
    </row>
    <row r="45" spans="1:29" s="211" customFormat="1" ht="30" hidden="1">
      <c r="A45" s="296" t="s">
        <v>136</v>
      </c>
      <c r="B45" s="289">
        <v>2112</v>
      </c>
      <c r="C45" s="297">
        <v>111</v>
      </c>
      <c r="D45" s="297">
        <v>266</v>
      </c>
      <c r="E45" s="304">
        <v>414998.65</v>
      </c>
      <c r="F45" s="576"/>
      <c r="G45" s="576"/>
      <c r="H45" s="576"/>
      <c r="I45" s="576"/>
      <c r="J45" s="576"/>
      <c r="K45" s="576"/>
      <c r="L45" s="576"/>
      <c r="M45" s="576"/>
      <c r="N45" s="631"/>
      <c r="O45" s="685">
        <f t="shared" si="0"/>
        <v>0</v>
      </c>
      <c r="P45" s="576"/>
      <c r="Q45" s="673"/>
      <c r="R45" s="651"/>
      <c r="S45" s="576"/>
      <c r="T45" s="304">
        <v>73402.11</v>
      </c>
      <c r="U45" s="305">
        <v>85800</v>
      </c>
      <c r="V45" s="305">
        <v>85800</v>
      </c>
      <c r="W45" s="305">
        <v>85800</v>
      </c>
      <c r="X45" s="304">
        <v>0</v>
      </c>
      <c r="Y45" s="305">
        <v>19800</v>
      </c>
      <c r="Z45" s="305">
        <v>19800</v>
      </c>
      <c r="AA45" s="305"/>
      <c r="AB45" s="301" t="s">
        <v>127</v>
      </c>
    </row>
    <row r="46" spans="1:29" s="50" customFormat="1">
      <c r="A46" s="735" t="s">
        <v>137</v>
      </c>
      <c r="B46" s="721">
        <v>2120</v>
      </c>
      <c r="C46" s="721">
        <v>112</v>
      </c>
      <c r="D46" s="722" t="s">
        <v>707</v>
      </c>
      <c r="E46" s="723">
        <f>SUM(E49:E52)</f>
        <v>1122040</v>
      </c>
      <c r="F46" s="576"/>
      <c r="G46" s="576"/>
      <c r="H46" s="576"/>
      <c r="I46" s="576"/>
      <c r="J46" s="576"/>
      <c r="K46" s="576"/>
      <c r="L46" s="576"/>
      <c r="M46" s="576"/>
      <c r="N46" s="631"/>
      <c r="O46" s="685">
        <f t="shared" si="0"/>
        <v>0</v>
      </c>
      <c r="P46" s="576"/>
      <c r="Q46" s="673"/>
      <c r="R46" s="651"/>
      <c r="S46" s="576"/>
      <c r="T46" s="725">
        <f t="shared" ref="T46:X46" si="4">SUM(T49:T52)</f>
        <v>1020510</v>
      </c>
      <c r="U46" s="726">
        <f t="shared" si="4"/>
        <v>2147794.96</v>
      </c>
      <c r="V46" s="726">
        <f t="shared" si="4"/>
        <v>1200650.48</v>
      </c>
      <c r="W46" s="726">
        <f t="shared" si="4"/>
        <v>1129828.02</v>
      </c>
      <c r="X46" s="725">
        <f t="shared" si="4"/>
        <v>1100000</v>
      </c>
      <c r="Y46" s="725">
        <f>SUM(Y49:Y52)</f>
        <v>1148378</v>
      </c>
      <c r="Z46" s="725">
        <f t="shared" ref="Z46:AA46" si="5">SUM(Z49:Z52)</f>
        <v>1062272.75</v>
      </c>
      <c r="AA46" s="725">
        <f t="shared" si="5"/>
        <v>7200</v>
      </c>
      <c r="AB46" s="733" t="s">
        <v>127</v>
      </c>
    </row>
    <row r="47" spans="1:29" s="50" customFormat="1">
      <c r="A47" s="735"/>
      <c r="B47" s="721"/>
      <c r="C47" s="721"/>
      <c r="D47" s="722"/>
      <c r="E47" s="724"/>
      <c r="F47" s="576"/>
      <c r="G47" s="576"/>
      <c r="H47" s="576"/>
      <c r="I47" s="576"/>
      <c r="J47" s="576"/>
      <c r="K47" s="576"/>
      <c r="L47" s="576"/>
      <c r="M47" s="576"/>
      <c r="N47" s="631"/>
      <c r="O47" s="685">
        <f t="shared" si="0"/>
        <v>0</v>
      </c>
      <c r="P47" s="576"/>
      <c r="Q47" s="673"/>
      <c r="R47" s="651"/>
      <c r="S47" s="576"/>
      <c r="T47" s="725"/>
      <c r="U47" s="726"/>
      <c r="V47" s="726"/>
      <c r="W47" s="726"/>
      <c r="X47" s="725"/>
      <c r="Y47" s="725"/>
      <c r="Z47" s="725"/>
      <c r="AA47" s="725"/>
      <c r="AB47" s="733"/>
      <c r="AC47" s="50" t="s">
        <v>704</v>
      </c>
    </row>
    <row r="48" spans="1:29" s="211" customFormat="1" hidden="1">
      <c r="A48" s="296" t="s">
        <v>41</v>
      </c>
      <c r="B48" s="297" t="s">
        <v>32</v>
      </c>
      <c r="C48" s="297" t="s">
        <v>32</v>
      </c>
      <c r="D48" s="297" t="s">
        <v>32</v>
      </c>
      <c r="E48" s="304" t="s">
        <v>32</v>
      </c>
      <c r="F48" s="591"/>
      <c r="G48" s="591"/>
      <c r="H48" s="591"/>
      <c r="I48" s="591"/>
      <c r="J48" s="591"/>
      <c r="K48" s="591"/>
      <c r="L48" s="591"/>
      <c r="M48" s="591"/>
      <c r="N48" s="630"/>
      <c r="O48" s="685">
        <f t="shared" si="0"/>
        <v>0</v>
      </c>
      <c r="P48" s="591"/>
      <c r="Q48" s="672"/>
      <c r="R48" s="650"/>
      <c r="S48" s="591"/>
      <c r="T48" s="304" t="s">
        <v>32</v>
      </c>
      <c r="U48" s="305"/>
      <c r="V48" s="305"/>
      <c r="W48" s="305"/>
      <c r="X48" s="304" t="s">
        <v>32</v>
      </c>
      <c r="Y48" s="305"/>
      <c r="Z48" s="305"/>
      <c r="AA48" s="305"/>
      <c r="AB48" s="301" t="s">
        <v>32</v>
      </c>
    </row>
    <row r="49" spans="1:35" s="211" customFormat="1" ht="30" hidden="1">
      <c r="A49" s="296" t="s">
        <v>138</v>
      </c>
      <c r="B49" s="289">
        <v>2121</v>
      </c>
      <c r="C49" s="297">
        <v>112</v>
      </c>
      <c r="D49" s="297">
        <v>212</v>
      </c>
      <c r="E49" s="304">
        <f>0+F49+I49+L49+O49+R49</f>
        <v>20000</v>
      </c>
      <c r="F49" s="591"/>
      <c r="G49" s="591"/>
      <c r="H49" s="591"/>
      <c r="I49" s="591">
        <f>J49+K49</f>
        <v>0</v>
      </c>
      <c r="J49" s="591"/>
      <c r="K49" s="591"/>
      <c r="L49" s="591">
        <f>M49+N49</f>
        <v>20000</v>
      </c>
      <c r="M49" s="591">
        <v>20000</v>
      </c>
      <c r="N49" s="630"/>
      <c r="O49" s="685">
        <f t="shared" si="0"/>
        <v>0</v>
      </c>
      <c r="P49" s="591"/>
      <c r="Q49" s="672"/>
      <c r="R49" s="650"/>
      <c r="S49" s="591"/>
      <c r="T49" s="304">
        <v>0</v>
      </c>
      <c r="U49" s="305">
        <v>243000</v>
      </c>
      <c r="V49" s="305">
        <v>0</v>
      </c>
      <c r="W49" s="305">
        <v>0</v>
      </c>
      <c r="X49" s="304">
        <v>0</v>
      </c>
      <c r="Y49" s="305">
        <v>243000</v>
      </c>
      <c r="Z49" s="305">
        <v>0</v>
      </c>
      <c r="AA49" s="305">
        <v>0</v>
      </c>
      <c r="AB49" s="301" t="s">
        <v>127</v>
      </c>
    </row>
    <row r="50" spans="1:35" s="211" customFormat="1" ht="30" hidden="1">
      <c r="A50" s="296" t="s">
        <v>139</v>
      </c>
      <c r="B50" s="289">
        <v>2122</v>
      </c>
      <c r="C50" s="297">
        <v>112</v>
      </c>
      <c r="D50" s="297">
        <v>214</v>
      </c>
      <c r="E50" s="304">
        <v>1100000</v>
      </c>
      <c r="F50" s="591"/>
      <c r="G50" s="591"/>
      <c r="H50" s="591"/>
      <c r="I50" s="591"/>
      <c r="J50" s="591"/>
      <c r="K50" s="591"/>
      <c r="L50" s="591"/>
      <c r="M50" s="591"/>
      <c r="N50" s="630"/>
      <c r="O50" s="685">
        <f t="shared" si="0"/>
        <v>0</v>
      </c>
      <c r="P50" s="591"/>
      <c r="Q50" s="672"/>
      <c r="R50" s="650"/>
      <c r="S50" s="591"/>
      <c r="T50" s="304">
        <v>1020000</v>
      </c>
      <c r="U50" s="305">
        <v>1040000</v>
      </c>
      <c r="V50" s="305">
        <v>1040000</v>
      </c>
      <c r="W50" s="305">
        <v>1000000</v>
      </c>
      <c r="X50" s="304">
        <v>1100000</v>
      </c>
      <c r="Y50" s="305">
        <v>140000</v>
      </c>
      <c r="Z50" s="305">
        <v>960000</v>
      </c>
      <c r="AA50" s="305">
        <v>0</v>
      </c>
      <c r="AB50" s="301" t="s">
        <v>127</v>
      </c>
    </row>
    <row r="51" spans="1:35" s="211" customFormat="1" ht="60" hidden="1">
      <c r="A51" s="296" t="s">
        <v>140</v>
      </c>
      <c r="B51" s="289">
        <v>2123</v>
      </c>
      <c r="C51" s="297">
        <v>112</v>
      </c>
      <c r="D51" s="297">
        <v>226</v>
      </c>
      <c r="E51" s="304">
        <v>0</v>
      </c>
      <c r="F51" s="591"/>
      <c r="G51" s="591"/>
      <c r="H51" s="591"/>
      <c r="I51" s="591"/>
      <c r="J51" s="591"/>
      <c r="K51" s="591"/>
      <c r="L51" s="591"/>
      <c r="M51" s="591"/>
      <c r="N51" s="630"/>
      <c r="O51" s="685">
        <f t="shared" si="0"/>
        <v>0</v>
      </c>
      <c r="P51" s="591"/>
      <c r="Q51" s="672"/>
      <c r="R51" s="650"/>
      <c r="S51" s="591"/>
      <c r="T51" s="304">
        <v>0</v>
      </c>
      <c r="U51" s="305">
        <v>764478</v>
      </c>
      <c r="V51" s="305">
        <v>0</v>
      </c>
      <c r="W51" s="305">
        <v>0</v>
      </c>
      <c r="X51" s="304">
        <v>0</v>
      </c>
      <c r="Y51" s="305">
        <v>764478</v>
      </c>
      <c r="Z51" s="305">
        <v>0</v>
      </c>
      <c r="AA51" s="305">
        <v>0</v>
      </c>
      <c r="AB51" s="301" t="s">
        <v>127</v>
      </c>
    </row>
    <row r="52" spans="1:35" s="211" customFormat="1" ht="30" hidden="1">
      <c r="A52" s="296" t="s">
        <v>136</v>
      </c>
      <c r="B52" s="289">
        <v>2124</v>
      </c>
      <c r="C52" s="297">
        <v>112</v>
      </c>
      <c r="D52" s="297">
        <v>266</v>
      </c>
      <c r="E52" s="304">
        <v>2040</v>
      </c>
      <c r="F52" s="591"/>
      <c r="G52" s="591"/>
      <c r="H52" s="591"/>
      <c r="I52" s="591"/>
      <c r="J52" s="591"/>
      <c r="K52" s="591"/>
      <c r="L52" s="591"/>
      <c r="M52" s="591"/>
      <c r="N52" s="630"/>
      <c r="O52" s="685">
        <f t="shared" si="0"/>
        <v>0</v>
      </c>
      <c r="P52" s="591"/>
      <c r="Q52" s="672"/>
      <c r="R52" s="650"/>
      <c r="S52" s="591"/>
      <c r="T52" s="304">
        <v>510</v>
      </c>
      <c r="U52" s="305">
        <v>100316.96</v>
      </c>
      <c r="V52" s="305">
        <v>160650.48000000001</v>
      </c>
      <c r="W52" s="305">
        <v>129828.02</v>
      </c>
      <c r="X52" s="304">
        <v>0</v>
      </c>
      <c r="Y52" s="305">
        <v>900</v>
      </c>
      <c r="Z52" s="305">
        <v>102272.75</v>
      </c>
      <c r="AA52" s="305">
        <v>7200</v>
      </c>
      <c r="AB52" s="301" t="s">
        <v>127</v>
      </c>
    </row>
    <row r="53" spans="1:35">
      <c r="A53" s="734" t="s">
        <v>141</v>
      </c>
      <c r="B53" s="695">
        <v>2130</v>
      </c>
      <c r="C53" s="695">
        <v>113</v>
      </c>
      <c r="D53" s="695" t="s">
        <v>32</v>
      </c>
      <c r="E53" s="715" t="s">
        <v>127</v>
      </c>
      <c r="F53" s="591"/>
      <c r="G53" s="591"/>
      <c r="H53" s="591"/>
      <c r="I53" s="591"/>
      <c r="J53" s="591"/>
      <c r="K53" s="591"/>
      <c r="L53" s="591"/>
      <c r="M53" s="591"/>
      <c r="N53" s="630"/>
      <c r="O53" s="685">
        <f t="shared" si="0"/>
        <v>0</v>
      </c>
      <c r="P53" s="591"/>
      <c r="Q53" s="672"/>
      <c r="R53" s="650"/>
      <c r="S53" s="591"/>
      <c r="T53" s="717" t="s">
        <v>127</v>
      </c>
      <c r="U53" s="713"/>
      <c r="V53" s="713"/>
      <c r="W53" s="713"/>
      <c r="X53" s="717" t="s">
        <v>127</v>
      </c>
      <c r="Y53" s="713"/>
      <c r="Z53" s="713"/>
      <c r="AA53" s="713"/>
      <c r="AB53" s="696" t="s">
        <v>127</v>
      </c>
    </row>
    <row r="54" spans="1:35" ht="33" customHeight="1">
      <c r="A54" s="734"/>
      <c r="B54" s="695"/>
      <c r="C54" s="695"/>
      <c r="D54" s="695"/>
      <c r="E54" s="716"/>
      <c r="F54" s="591"/>
      <c r="G54" s="591"/>
      <c r="H54" s="591"/>
      <c r="I54" s="591"/>
      <c r="J54" s="591"/>
      <c r="K54" s="591"/>
      <c r="L54" s="591"/>
      <c r="M54" s="591"/>
      <c r="N54" s="630"/>
      <c r="O54" s="685">
        <f t="shared" si="0"/>
        <v>0</v>
      </c>
      <c r="P54" s="591"/>
      <c r="Q54" s="672"/>
      <c r="R54" s="650"/>
      <c r="S54" s="591"/>
      <c r="T54" s="717"/>
      <c r="U54" s="713"/>
      <c r="V54" s="713"/>
      <c r="W54" s="713"/>
      <c r="X54" s="717"/>
      <c r="Y54" s="713"/>
      <c r="Z54" s="713"/>
      <c r="AA54" s="713"/>
      <c r="AB54" s="696"/>
    </row>
    <row r="55" spans="1:35" s="50" customFormat="1" ht="60">
      <c r="A55" s="418" t="s">
        <v>142</v>
      </c>
      <c r="B55" s="419">
        <v>2140</v>
      </c>
      <c r="C55" s="419">
        <v>119</v>
      </c>
      <c r="D55" s="419" t="s">
        <v>32</v>
      </c>
      <c r="E55" s="422">
        <f>E57+E59</f>
        <v>11703146.43</v>
      </c>
      <c r="F55" s="576"/>
      <c r="G55" s="576"/>
      <c r="H55" s="576"/>
      <c r="I55" s="576"/>
      <c r="J55" s="576"/>
      <c r="K55" s="576"/>
      <c r="L55" s="576"/>
      <c r="M55" s="576"/>
      <c r="N55" s="631"/>
      <c r="O55" s="685">
        <f t="shared" si="0"/>
        <v>0</v>
      </c>
      <c r="P55" s="576"/>
      <c r="Q55" s="673"/>
      <c r="R55" s="651"/>
      <c r="S55" s="576"/>
      <c r="T55" s="422">
        <f t="shared" ref="T55:X55" si="6">T57+T59</f>
        <v>8894276.5600000005</v>
      </c>
      <c r="U55" s="424">
        <f t="shared" si="6"/>
        <v>1450913.69</v>
      </c>
      <c r="V55" s="424">
        <f t="shared" si="6"/>
        <v>8176092.4400000004</v>
      </c>
      <c r="W55" s="424">
        <f t="shared" si="6"/>
        <v>0</v>
      </c>
      <c r="X55" s="422">
        <f t="shared" si="6"/>
        <v>9543475.6400000006</v>
      </c>
      <c r="Y55" s="422">
        <f>Y57+Y59</f>
        <v>1533302.43</v>
      </c>
      <c r="Z55" s="422">
        <f>Z57+Z59</f>
        <v>8134481.7999999998</v>
      </c>
      <c r="AA55" s="424">
        <f>AA57+AA59</f>
        <v>0</v>
      </c>
      <c r="AB55" s="421" t="s">
        <v>127</v>
      </c>
      <c r="AF55" s="220"/>
      <c r="AG55" s="220"/>
      <c r="AH55" s="220"/>
      <c r="AI55" s="220"/>
    </row>
    <row r="56" spans="1:35" s="257" customFormat="1" hidden="1">
      <c r="A56" s="252" t="s">
        <v>41</v>
      </c>
      <c r="B56" s="253" t="s">
        <v>32</v>
      </c>
      <c r="C56" s="253" t="s">
        <v>32</v>
      </c>
      <c r="D56" s="253" t="s">
        <v>32</v>
      </c>
      <c r="E56" s="254" t="s">
        <v>32</v>
      </c>
      <c r="F56" s="591"/>
      <c r="G56" s="591"/>
      <c r="H56" s="591"/>
      <c r="I56" s="591"/>
      <c r="J56" s="591"/>
      <c r="K56" s="591"/>
      <c r="L56" s="591"/>
      <c r="M56" s="591"/>
      <c r="N56" s="630"/>
      <c r="O56" s="685">
        <f t="shared" si="0"/>
        <v>0</v>
      </c>
      <c r="P56" s="591"/>
      <c r="Q56" s="672"/>
      <c r="R56" s="650"/>
      <c r="S56" s="591"/>
      <c r="T56" s="254" t="s">
        <v>32</v>
      </c>
      <c r="U56" s="255"/>
      <c r="V56" s="255"/>
      <c r="W56" s="255"/>
      <c r="X56" s="254" t="s">
        <v>32</v>
      </c>
      <c r="Y56" s="254"/>
      <c r="Z56" s="254"/>
      <c r="AA56" s="255"/>
      <c r="AB56" s="256" t="s">
        <v>32</v>
      </c>
      <c r="AF56" s="276"/>
      <c r="AG56" s="276"/>
      <c r="AH56" s="276"/>
      <c r="AI56" s="276"/>
    </row>
    <row r="57" spans="1:35">
      <c r="A57" s="702" t="s">
        <v>687</v>
      </c>
      <c r="B57" s="709">
        <v>2141</v>
      </c>
      <c r="C57" s="709">
        <v>119</v>
      </c>
      <c r="D57" s="709">
        <v>213</v>
      </c>
      <c r="E57" s="715">
        <f>11339225.23+F57+I57</f>
        <v>11608217.74</v>
      </c>
      <c r="F57" s="731">
        <f>G57+H57</f>
        <v>641873.99</v>
      </c>
      <c r="G57" s="731">
        <v>268992.51</v>
      </c>
      <c r="H57" s="731">
        <v>372881.48</v>
      </c>
      <c r="I57" s="731">
        <f>J57+K57</f>
        <v>-372881.48</v>
      </c>
      <c r="J57" s="731"/>
      <c r="K57" s="731">
        <v>-372881.48</v>
      </c>
      <c r="L57" s="596"/>
      <c r="M57" s="596"/>
      <c r="N57" s="638"/>
      <c r="O57" s="685">
        <f t="shared" si="0"/>
        <v>0</v>
      </c>
      <c r="P57" s="621"/>
      <c r="Q57" s="681"/>
      <c r="R57" s="658"/>
      <c r="S57" s="596"/>
      <c r="T57" s="715">
        <v>8854118.6400000006</v>
      </c>
      <c r="U57" s="729">
        <f>[1]Лист9!F42</f>
        <v>1450913.69</v>
      </c>
      <c r="V57" s="729">
        <f>[1]Лист9!F22</f>
        <v>8142293.2800000003</v>
      </c>
      <c r="W57" s="729">
        <v>0</v>
      </c>
      <c r="X57" s="715">
        <v>9543475.6400000006</v>
      </c>
      <c r="Y57" s="729">
        <f>[1]Лист9!H42</f>
        <v>1533302.43</v>
      </c>
      <c r="Z57" s="729">
        <f>[1]Лист9!H22</f>
        <v>8098921.9800000004</v>
      </c>
      <c r="AA57" s="729">
        <v>0</v>
      </c>
      <c r="AB57" s="706" t="s">
        <v>127</v>
      </c>
      <c r="AF57" s="221"/>
      <c r="AG57" s="221"/>
      <c r="AH57" s="221"/>
      <c r="AI57" s="221"/>
    </row>
    <row r="58" spans="1:35">
      <c r="A58" s="703"/>
      <c r="B58" s="710"/>
      <c r="C58" s="710"/>
      <c r="D58" s="710"/>
      <c r="E58" s="716"/>
      <c r="F58" s="732"/>
      <c r="G58" s="732"/>
      <c r="H58" s="732"/>
      <c r="I58" s="732"/>
      <c r="J58" s="732"/>
      <c r="K58" s="732"/>
      <c r="L58" s="597"/>
      <c r="M58" s="597"/>
      <c r="N58" s="639"/>
      <c r="O58" s="685">
        <f t="shared" si="0"/>
        <v>0</v>
      </c>
      <c r="P58" s="622"/>
      <c r="Q58" s="682"/>
      <c r="R58" s="659"/>
      <c r="S58" s="597"/>
      <c r="T58" s="716"/>
      <c r="U58" s="730"/>
      <c r="V58" s="730"/>
      <c r="W58" s="730"/>
      <c r="X58" s="716"/>
      <c r="Y58" s="730"/>
      <c r="Z58" s="730"/>
      <c r="AA58" s="730"/>
      <c r="AB58" s="707"/>
    </row>
    <row r="59" spans="1:35">
      <c r="A59" s="694" t="s">
        <v>143</v>
      </c>
      <c r="B59" s="695">
        <v>2142</v>
      </c>
      <c r="C59" s="695">
        <v>119</v>
      </c>
      <c r="D59" s="695">
        <v>266</v>
      </c>
      <c r="E59" s="715">
        <v>94928.69</v>
      </c>
      <c r="F59" s="591"/>
      <c r="G59" s="591"/>
      <c r="H59" s="591"/>
      <c r="I59" s="591"/>
      <c r="J59" s="591"/>
      <c r="K59" s="591"/>
      <c r="L59" s="591"/>
      <c r="M59" s="591"/>
      <c r="N59" s="630"/>
      <c r="O59" s="685">
        <f t="shared" si="0"/>
        <v>0</v>
      </c>
      <c r="P59" s="591"/>
      <c r="Q59" s="672"/>
      <c r="R59" s="650"/>
      <c r="S59" s="591"/>
      <c r="T59" s="717">
        <v>40157.919999999998</v>
      </c>
      <c r="U59" s="713">
        <v>0</v>
      </c>
      <c r="V59" s="713">
        <f>[1]Лист10!J12</f>
        <v>33799.160000000003</v>
      </c>
      <c r="W59" s="713">
        <v>0</v>
      </c>
      <c r="X59" s="717">
        <v>0</v>
      </c>
      <c r="Y59" s="713">
        <v>0</v>
      </c>
      <c r="Z59" s="713">
        <f>[1]Лист10!N12</f>
        <v>35559.82</v>
      </c>
      <c r="AA59" s="713">
        <v>0</v>
      </c>
      <c r="AB59" s="696" t="s">
        <v>127</v>
      </c>
    </row>
    <row r="60" spans="1:35">
      <c r="A60" s="694"/>
      <c r="B60" s="695"/>
      <c r="C60" s="695"/>
      <c r="D60" s="695"/>
      <c r="E60" s="716"/>
      <c r="F60" s="591"/>
      <c r="G60" s="591"/>
      <c r="H60" s="591"/>
      <c r="I60" s="591"/>
      <c r="J60" s="591"/>
      <c r="K60" s="591"/>
      <c r="L60" s="591"/>
      <c r="M60" s="591"/>
      <c r="N60" s="630"/>
      <c r="O60" s="685">
        <f t="shared" si="0"/>
        <v>0</v>
      </c>
      <c r="P60" s="591"/>
      <c r="Q60" s="672"/>
      <c r="R60" s="650"/>
      <c r="S60" s="591"/>
      <c r="T60" s="717"/>
      <c r="U60" s="713"/>
      <c r="V60" s="713"/>
      <c r="W60" s="713"/>
      <c r="X60" s="717"/>
      <c r="Y60" s="713"/>
      <c r="Z60" s="713"/>
      <c r="AA60" s="713"/>
      <c r="AB60" s="696"/>
    </row>
    <row r="61" spans="1:35">
      <c r="A61" s="694" t="s">
        <v>144</v>
      </c>
      <c r="B61" s="695">
        <v>2200</v>
      </c>
      <c r="C61" s="695">
        <v>300</v>
      </c>
      <c r="D61" s="695" t="s">
        <v>32</v>
      </c>
      <c r="E61" s="715" t="s">
        <v>127</v>
      </c>
      <c r="F61" s="591"/>
      <c r="G61" s="591"/>
      <c r="H61" s="591"/>
      <c r="I61" s="591"/>
      <c r="J61" s="591"/>
      <c r="K61" s="591"/>
      <c r="L61" s="591"/>
      <c r="M61" s="591"/>
      <c r="N61" s="630"/>
      <c r="O61" s="685">
        <f t="shared" si="0"/>
        <v>0</v>
      </c>
      <c r="P61" s="591"/>
      <c r="Q61" s="672"/>
      <c r="R61" s="650"/>
      <c r="S61" s="591"/>
      <c r="T61" s="717" t="str">
        <f>T63</f>
        <v>-</v>
      </c>
      <c r="U61" s="713">
        <f>U63</f>
        <v>0</v>
      </c>
      <c r="V61" s="713">
        <f t="shared" ref="V61:W61" si="7">V63</f>
        <v>0</v>
      </c>
      <c r="W61" s="713">
        <f t="shared" si="7"/>
        <v>0</v>
      </c>
      <c r="X61" s="717" t="s">
        <v>127</v>
      </c>
      <c r="Y61" s="713">
        <f>Y63</f>
        <v>0</v>
      </c>
      <c r="Z61" s="713">
        <f t="shared" ref="Z61:AA61" si="8">Z63</f>
        <v>0</v>
      </c>
      <c r="AA61" s="713">
        <f t="shared" si="8"/>
        <v>0</v>
      </c>
      <c r="AB61" s="696" t="s">
        <v>127</v>
      </c>
    </row>
    <row r="62" spans="1:35">
      <c r="A62" s="694"/>
      <c r="B62" s="695"/>
      <c r="C62" s="695"/>
      <c r="D62" s="695"/>
      <c r="E62" s="716"/>
      <c r="F62" s="591"/>
      <c r="G62" s="591"/>
      <c r="H62" s="591"/>
      <c r="I62" s="591"/>
      <c r="J62" s="591"/>
      <c r="K62" s="591"/>
      <c r="L62" s="591"/>
      <c r="M62" s="591"/>
      <c r="N62" s="630"/>
      <c r="O62" s="685">
        <f t="shared" si="0"/>
        <v>0</v>
      </c>
      <c r="P62" s="591"/>
      <c r="Q62" s="672"/>
      <c r="R62" s="650"/>
      <c r="S62" s="591"/>
      <c r="T62" s="717"/>
      <c r="U62" s="713"/>
      <c r="V62" s="713"/>
      <c r="W62" s="713"/>
      <c r="X62" s="717"/>
      <c r="Y62" s="713"/>
      <c r="Z62" s="713"/>
      <c r="AA62" s="713"/>
      <c r="AB62" s="696"/>
    </row>
    <row r="63" spans="1:35" ht="26.25" customHeight="1">
      <c r="A63" s="694" t="s">
        <v>680</v>
      </c>
      <c r="B63" s="695">
        <v>2210</v>
      </c>
      <c r="C63" s="695">
        <v>320</v>
      </c>
      <c r="D63" s="695" t="s">
        <v>32</v>
      </c>
      <c r="E63" s="715" t="s">
        <v>127</v>
      </c>
      <c r="F63" s="591"/>
      <c r="G63" s="591"/>
      <c r="H63" s="591"/>
      <c r="I63" s="591"/>
      <c r="J63" s="591"/>
      <c r="K63" s="591"/>
      <c r="L63" s="591"/>
      <c r="M63" s="591"/>
      <c r="N63" s="630"/>
      <c r="O63" s="685">
        <f t="shared" si="0"/>
        <v>0</v>
      </c>
      <c r="P63" s="591"/>
      <c r="Q63" s="672"/>
      <c r="R63" s="650"/>
      <c r="S63" s="591"/>
      <c r="T63" s="717" t="s">
        <v>127</v>
      </c>
      <c r="U63" s="713">
        <v>0</v>
      </c>
      <c r="V63" s="713">
        <v>0</v>
      </c>
      <c r="W63" s="713">
        <v>0</v>
      </c>
      <c r="X63" s="717" t="s">
        <v>127</v>
      </c>
      <c r="Y63" s="713">
        <v>0</v>
      </c>
      <c r="Z63" s="713">
        <v>0</v>
      </c>
      <c r="AA63" s="713">
        <v>0</v>
      </c>
      <c r="AB63" s="696" t="s">
        <v>127</v>
      </c>
    </row>
    <row r="64" spans="1:35" ht="34.5" customHeight="1">
      <c r="A64" s="694"/>
      <c r="B64" s="695"/>
      <c r="C64" s="695"/>
      <c r="D64" s="695"/>
      <c r="E64" s="716"/>
      <c r="F64" s="591"/>
      <c r="G64" s="591"/>
      <c r="H64" s="591"/>
      <c r="I64" s="591"/>
      <c r="J64" s="591"/>
      <c r="K64" s="591"/>
      <c r="L64" s="591"/>
      <c r="M64" s="591"/>
      <c r="N64" s="630"/>
      <c r="O64" s="685">
        <f t="shared" si="0"/>
        <v>0</v>
      </c>
      <c r="P64" s="591"/>
      <c r="Q64" s="672"/>
      <c r="R64" s="650"/>
      <c r="S64" s="591"/>
      <c r="T64" s="717"/>
      <c r="U64" s="713"/>
      <c r="V64" s="713"/>
      <c r="W64" s="713"/>
      <c r="X64" s="717"/>
      <c r="Y64" s="713"/>
      <c r="Z64" s="713"/>
      <c r="AA64" s="713"/>
      <c r="AB64" s="696"/>
    </row>
    <row r="65" spans="1:29" ht="26.25" customHeight="1">
      <c r="A65" s="694" t="s">
        <v>681</v>
      </c>
      <c r="B65" s="695">
        <v>2211</v>
      </c>
      <c r="C65" s="695">
        <v>321</v>
      </c>
      <c r="D65" s="695" t="s">
        <v>32</v>
      </c>
      <c r="E65" s="715" t="s">
        <v>127</v>
      </c>
      <c r="F65" s="591"/>
      <c r="G65" s="591"/>
      <c r="H65" s="591"/>
      <c r="I65" s="591"/>
      <c r="J65" s="591"/>
      <c r="K65" s="591"/>
      <c r="L65" s="591"/>
      <c r="M65" s="591"/>
      <c r="N65" s="630"/>
      <c r="O65" s="685">
        <f t="shared" si="0"/>
        <v>0</v>
      </c>
      <c r="P65" s="591"/>
      <c r="Q65" s="672"/>
      <c r="R65" s="650"/>
      <c r="S65" s="591"/>
      <c r="T65" s="717" t="s">
        <v>127</v>
      </c>
      <c r="U65" s="713">
        <v>0</v>
      </c>
      <c r="V65" s="713">
        <v>0</v>
      </c>
      <c r="W65" s="713">
        <v>0</v>
      </c>
      <c r="X65" s="717" t="s">
        <v>127</v>
      </c>
      <c r="Y65" s="713">
        <v>0</v>
      </c>
      <c r="Z65" s="713">
        <v>0</v>
      </c>
      <c r="AA65" s="713">
        <v>0</v>
      </c>
      <c r="AB65" s="696" t="s">
        <v>127</v>
      </c>
    </row>
    <row r="66" spans="1:29" ht="30" customHeight="1">
      <c r="A66" s="694"/>
      <c r="B66" s="695"/>
      <c r="C66" s="695"/>
      <c r="D66" s="695"/>
      <c r="E66" s="716"/>
      <c r="F66" s="591"/>
      <c r="G66" s="591"/>
      <c r="H66" s="591"/>
      <c r="I66" s="591"/>
      <c r="J66" s="591"/>
      <c r="K66" s="591"/>
      <c r="L66" s="591"/>
      <c r="M66" s="591"/>
      <c r="N66" s="630"/>
      <c r="O66" s="685">
        <f t="shared" si="0"/>
        <v>0</v>
      </c>
      <c r="P66" s="591"/>
      <c r="Q66" s="672"/>
      <c r="R66" s="650"/>
      <c r="S66" s="591"/>
      <c r="T66" s="717"/>
      <c r="U66" s="713"/>
      <c r="V66" s="713"/>
      <c r="W66" s="713"/>
      <c r="X66" s="717"/>
      <c r="Y66" s="713"/>
      <c r="Z66" s="713"/>
      <c r="AA66" s="713"/>
      <c r="AB66" s="696"/>
    </row>
    <row r="67" spans="1:29" ht="60">
      <c r="A67" s="410" t="s">
        <v>145</v>
      </c>
      <c r="B67" s="411">
        <v>2220</v>
      </c>
      <c r="C67" s="411">
        <v>340</v>
      </c>
      <c r="D67" s="411" t="s">
        <v>32</v>
      </c>
      <c r="E67" s="417" t="s">
        <v>127</v>
      </c>
      <c r="F67" s="591"/>
      <c r="G67" s="591"/>
      <c r="H67" s="591"/>
      <c r="I67" s="591"/>
      <c r="J67" s="591"/>
      <c r="K67" s="591"/>
      <c r="L67" s="591"/>
      <c r="M67" s="591"/>
      <c r="N67" s="630"/>
      <c r="O67" s="685">
        <f t="shared" si="0"/>
        <v>0</v>
      </c>
      <c r="P67" s="591"/>
      <c r="Q67" s="672"/>
      <c r="R67" s="650"/>
      <c r="S67" s="591"/>
      <c r="T67" s="417" t="s">
        <v>127</v>
      </c>
      <c r="U67" s="416"/>
      <c r="V67" s="416"/>
      <c r="W67" s="416"/>
      <c r="X67" s="417" t="s">
        <v>127</v>
      </c>
      <c r="Y67" s="416"/>
      <c r="Z67" s="416"/>
      <c r="AA67" s="416"/>
      <c r="AB67" s="412" t="s">
        <v>127</v>
      </c>
    </row>
    <row r="68" spans="1:29" ht="90">
      <c r="A68" s="410" t="s">
        <v>146</v>
      </c>
      <c r="B68" s="411">
        <v>2230</v>
      </c>
      <c r="C68" s="411">
        <v>350</v>
      </c>
      <c r="D68" s="411" t="s">
        <v>32</v>
      </c>
      <c r="E68" s="417" t="s">
        <v>127</v>
      </c>
      <c r="F68" s="591"/>
      <c r="G68" s="591"/>
      <c r="H68" s="591"/>
      <c r="I68" s="591"/>
      <c r="J68" s="591"/>
      <c r="K68" s="591"/>
      <c r="L68" s="591"/>
      <c r="M68" s="591"/>
      <c r="N68" s="630"/>
      <c r="O68" s="685">
        <f t="shared" si="0"/>
        <v>0</v>
      </c>
      <c r="P68" s="591"/>
      <c r="Q68" s="672"/>
      <c r="R68" s="650"/>
      <c r="S68" s="591"/>
      <c r="T68" s="417" t="s">
        <v>127</v>
      </c>
      <c r="U68" s="416"/>
      <c r="V68" s="416"/>
      <c r="W68" s="416"/>
      <c r="X68" s="417" t="s">
        <v>127</v>
      </c>
      <c r="Y68" s="416"/>
      <c r="Z68" s="416"/>
      <c r="AA68" s="416"/>
      <c r="AB68" s="412" t="s">
        <v>127</v>
      </c>
    </row>
    <row r="69" spans="1:29">
      <c r="A69" s="410" t="s">
        <v>147</v>
      </c>
      <c r="B69" s="411">
        <v>2240</v>
      </c>
      <c r="C69" s="411">
        <v>360</v>
      </c>
      <c r="D69" s="411" t="s">
        <v>32</v>
      </c>
      <c r="E69" s="417" t="s">
        <v>127</v>
      </c>
      <c r="F69" s="591"/>
      <c r="G69" s="591"/>
      <c r="H69" s="591"/>
      <c r="I69" s="591"/>
      <c r="J69" s="591"/>
      <c r="K69" s="591"/>
      <c r="L69" s="591"/>
      <c r="M69" s="591"/>
      <c r="N69" s="630"/>
      <c r="O69" s="685">
        <f t="shared" ref="O69:O107" si="9">P69++Q69</f>
        <v>0</v>
      </c>
      <c r="P69" s="591"/>
      <c r="Q69" s="672"/>
      <c r="R69" s="650"/>
      <c r="S69" s="591"/>
      <c r="T69" s="417" t="s">
        <v>127</v>
      </c>
      <c r="U69" s="416"/>
      <c r="V69" s="416"/>
      <c r="W69" s="416"/>
      <c r="X69" s="417" t="s">
        <v>127</v>
      </c>
      <c r="Y69" s="416"/>
      <c r="Z69" s="416"/>
      <c r="AA69" s="416"/>
      <c r="AB69" s="412" t="s">
        <v>127</v>
      </c>
    </row>
    <row r="70" spans="1:29" s="50" customFormat="1" ht="30">
      <c r="A70" s="418" t="s">
        <v>148</v>
      </c>
      <c r="B70" s="419">
        <v>2300</v>
      </c>
      <c r="C70" s="419">
        <v>850</v>
      </c>
      <c r="D70" s="419" t="s">
        <v>32</v>
      </c>
      <c r="E70" s="422">
        <f>E72+E75+E76</f>
        <v>646220.44999999995</v>
      </c>
      <c r="F70" s="576"/>
      <c r="G70" s="576"/>
      <c r="H70" s="576"/>
      <c r="I70" s="576"/>
      <c r="J70" s="576"/>
      <c r="K70" s="576"/>
      <c r="L70" s="576"/>
      <c r="M70" s="576"/>
      <c r="N70" s="631"/>
      <c r="O70" s="685">
        <f t="shared" si="9"/>
        <v>0</v>
      </c>
      <c r="P70" s="576"/>
      <c r="Q70" s="673"/>
      <c r="R70" s="651"/>
      <c r="S70" s="576"/>
      <c r="T70" s="422">
        <f t="shared" ref="T70:X70" si="10">T72+T75+T76</f>
        <v>43633.54</v>
      </c>
      <c r="U70" s="424">
        <f t="shared" si="10"/>
        <v>27269.56</v>
      </c>
      <c r="V70" s="424">
        <f t="shared" si="10"/>
        <v>2108376.81</v>
      </c>
      <c r="W70" s="424">
        <f t="shared" si="10"/>
        <v>19701</v>
      </c>
      <c r="X70" s="422">
        <f t="shared" si="10"/>
        <v>47143.18</v>
      </c>
      <c r="Y70" s="422">
        <f>Y72+Y76</f>
        <v>0</v>
      </c>
      <c r="Z70" s="422">
        <f>Z72+Z76</f>
        <v>1994933.25</v>
      </c>
      <c r="AA70" s="422">
        <f>AA72+AA76</f>
        <v>0</v>
      </c>
      <c r="AB70" s="421" t="s">
        <v>127</v>
      </c>
    </row>
    <row r="71" spans="1:29" s="257" customFormat="1" hidden="1">
      <c r="A71" s="252" t="s">
        <v>134</v>
      </c>
      <c r="B71" s="253" t="s">
        <v>32</v>
      </c>
      <c r="C71" s="253" t="s">
        <v>32</v>
      </c>
      <c r="D71" s="253" t="s">
        <v>32</v>
      </c>
      <c r="E71" s="254" t="s">
        <v>32</v>
      </c>
      <c r="F71" s="576"/>
      <c r="G71" s="576"/>
      <c r="H71" s="576"/>
      <c r="I71" s="576"/>
      <c r="J71" s="576"/>
      <c r="K71" s="576"/>
      <c r="L71" s="576"/>
      <c r="M71" s="576"/>
      <c r="N71" s="631"/>
      <c r="O71" s="685">
        <f t="shared" si="9"/>
        <v>0</v>
      </c>
      <c r="P71" s="576"/>
      <c r="Q71" s="673"/>
      <c r="R71" s="651"/>
      <c r="S71" s="576"/>
      <c r="T71" s="254" t="s">
        <v>32</v>
      </c>
      <c r="U71" s="255"/>
      <c r="V71" s="255"/>
      <c r="W71" s="255"/>
      <c r="X71" s="254" t="s">
        <v>32</v>
      </c>
      <c r="Y71" s="255"/>
      <c r="Z71" s="255"/>
      <c r="AA71" s="255"/>
      <c r="AB71" s="256" t="s">
        <v>32</v>
      </c>
    </row>
    <row r="72" spans="1:29" ht="32.25" customHeight="1">
      <c r="A72" s="694" t="s">
        <v>686</v>
      </c>
      <c r="B72" s="727">
        <v>2310</v>
      </c>
      <c r="C72" s="695">
        <v>851</v>
      </c>
      <c r="D72" s="695">
        <v>291</v>
      </c>
      <c r="E72" s="715">
        <v>0</v>
      </c>
      <c r="F72" s="576"/>
      <c r="G72" s="576"/>
      <c r="H72" s="576"/>
      <c r="I72" s="576"/>
      <c r="J72" s="576"/>
      <c r="K72" s="576"/>
      <c r="L72" s="576"/>
      <c r="M72" s="576"/>
      <c r="N72" s="631"/>
      <c r="O72" s="685">
        <f t="shared" si="9"/>
        <v>0</v>
      </c>
      <c r="P72" s="576"/>
      <c r="Q72" s="673"/>
      <c r="R72" s="651"/>
      <c r="S72" s="576"/>
      <c r="T72" s="717">
        <v>0</v>
      </c>
      <c r="U72" s="713">
        <f>[1]Лист10!I38+[1]Лист10!I39</f>
        <v>0</v>
      </c>
      <c r="V72" s="713">
        <f>[1]Лист10!J38+[1]Лист10!J39</f>
        <v>2031292</v>
      </c>
      <c r="W72" s="713">
        <v>0</v>
      </c>
      <c r="X72" s="717">
        <v>0</v>
      </c>
      <c r="Y72" s="713">
        <v>0</v>
      </c>
      <c r="Z72" s="713">
        <f>[1]Лист10!N38+[1]Лист10!N39</f>
        <v>1975232.25</v>
      </c>
      <c r="AA72" s="713">
        <v>0</v>
      </c>
      <c r="AB72" s="696" t="s">
        <v>127</v>
      </c>
    </row>
    <row r="73" spans="1:29" ht="15" customHeight="1">
      <c r="A73" s="694"/>
      <c r="B73" s="727"/>
      <c r="C73" s="695"/>
      <c r="D73" s="695"/>
      <c r="E73" s="728"/>
      <c r="F73" s="576"/>
      <c r="G73" s="576"/>
      <c r="H73" s="576"/>
      <c r="I73" s="576"/>
      <c r="J73" s="576"/>
      <c r="K73" s="576"/>
      <c r="L73" s="576"/>
      <c r="M73" s="576"/>
      <c r="N73" s="631"/>
      <c r="O73" s="685">
        <f t="shared" si="9"/>
        <v>0</v>
      </c>
      <c r="P73" s="576"/>
      <c r="Q73" s="673"/>
      <c r="R73" s="651"/>
      <c r="S73" s="576"/>
      <c r="T73" s="717"/>
      <c r="U73" s="713"/>
      <c r="V73" s="713"/>
      <c r="W73" s="713"/>
      <c r="X73" s="717"/>
      <c r="Y73" s="713"/>
      <c r="Z73" s="713"/>
      <c r="AA73" s="713"/>
      <c r="AB73" s="696"/>
    </row>
    <row r="74" spans="1:29" s="257" customFormat="1" ht="15" hidden="1" customHeight="1">
      <c r="A74" s="252"/>
      <c r="B74" s="727"/>
      <c r="C74" s="695"/>
      <c r="D74" s="695"/>
      <c r="E74" s="716"/>
      <c r="F74" s="576"/>
      <c r="G74" s="576"/>
      <c r="H74" s="576"/>
      <c r="I74" s="576"/>
      <c r="J74" s="576"/>
      <c r="K74" s="576"/>
      <c r="L74" s="576"/>
      <c r="M74" s="576"/>
      <c r="N74" s="631"/>
      <c r="O74" s="685">
        <f t="shared" si="9"/>
        <v>0</v>
      </c>
      <c r="P74" s="576"/>
      <c r="Q74" s="673"/>
      <c r="R74" s="651"/>
      <c r="S74" s="576"/>
      <c r="T74" s="717"/>
      <c r="U74" s="713"/>
      <c r="V74" s="713"/>
      <c r="W74" s="713"/>
      <c r="X74" s="717"/>
      <c r="Y74" s="713"/>
      <c r="Z74" s="713"/>
      <c r="AA74" s="713"/>
      <c r="AB74" s="696"/>
    </row>
    <row r="75" spans="1:29" ht="79.5" customHeight="1">
      <c r="A75" s="410" t="s">
        <v>149</v>
      </c>
      <c r="B75" s="426">
        <v>2320</v>
      </c>
      <c r="C75" s="411">
        <v>852</v>
      </c>
      <c r="D75" s="411">
        <v>291</v>
      </c>
      <c r="E75" s="417">
        <f>0+F75+I75</f>
        <v>800</v>
      </c>
      <c r="F75" s="576"/>
      <c r="G75" s="576"/>
      <c r="H75" s="576"/>
      <c r="I75" s="576">
        <f>J75+K75</f>
        <v>800</v>
      </c>
      <c r="J75" s="576"/>
      <c r="K75" s="576">
        <v>800</v>
      </c>
      <c r="L75" s="576"/>
      <c r="M75" s="576"/>
      <c r="N75" s="631"/>
      <c r="O75" s="685">
        <f t="shared" si="9"/>
        <v>0</v>
      </c>
      <c r="P75" s="576"/>
      <c r="Q75" s="673"/>
      <c r="R75" s="651"/>
      <c r="S75" s="576"/>
      <c r="T75" s="417">
        <v>0</v>
      </c>
      <c r="U75" s="416">
        <v>0</v>
      </c>
      <c r="V75" s="416">
        <v>0</v>
      </c>
      <c r="W75" s="416">
        <v>0</v>
      </c>
      <c r="X75" s="417">
        <v>0</v>
      </c>
      <c r="Y75" s="416">
        <v>0</v>
      </c>
      <c r="Z75" s="416">
        <v>0</v>
      </c>
      <c r="AA75" s="416">
        <v>0</v>
      </c>
      <c r="AB75" s="412" t="s">
        <v>127</v>
      </c>
    </row>
    <row r="76" spans="1:29" s="50" customFormat="1">
      <c r="A76" s="719" t="s">
        <v>150</v>
      </c>
      <c r="B76" s="720">
        <v>2330</v>
      </c>
      <c r="C76" s="721">
        <v>853</v>
      </c>
      <c r="D76" s="722" t="s">
        <v>706</v>
      </c>
      <c r="E76" s="723">
        <f>E78+E79+E80</f>
        <v>645420.44999999995</v>
      </c>
      <c r="F76" s="576"/>
      <c r="G76" s="576"/>
      <c r="H76" s="576"/>
      <c r="I76" s="576"/>
      <c r="J76" s="576"/>
      <c r="K76" s="576"/>
      <c r="L76" s="576"/>
      <c r="M76" s="576"/>
      <c r="N76" s="631"/>
      <c r="O76" s="685">
        <f t="shared" si="9"/>
        <v>0</v>
      </c>
      <c r="P76" s="576"/>
      <c r="Q76" s="673"/>
      <c r="R76" s="651"/>
      <c r="S76" s="576"/>
      <c r="T76" s="725">
        <f>T78+T79+T80</f>
        <v>43633.54</v>
      </c>
      <c r="U76" s="725">
        <f t="shared" ref="U76:W76" si="11">U78+U79</f>
        <v>27269.56</v>
      </c>
      <c r="V76" s="725">
        <f t="shared" si="11"/>
        <v>77084.81</v>
      </c>
      <c r="W76" s="725">
        <f t="shared" si="11"/>
        <v>19701</v>
      </c>
      <c r="X76" s="725">
        <f>X78+X79+X80</f>
        <v>47143.18</v>
      </c>
      <c r="Y76" s="726">
        <v>0</v>
      </c>
      <c r="Z76" s="726">
        <v>19701</v>
      </c>
      <c r="AA76" s="726">
        <v>0</v>
      </c>
      <c r="AB76" s="725" t="s">
        <v>127</v>
      </c>
    </row>
    <row r="77" spans="1:29" s="50" customFormat="1">
      <c r="A77" s="719"/>
      <c r="B77" s="720"/>
      <c r="C77" s="721"/>
      <c r="D77" s="722"/>
      <c r="E77" s="724"/>
      <c r="F77" s="576"/>
      <c r="G77" s="576"/>
      <c r="H77" s="576"/>
      <c r="I77" s="576"/>
      <c r="J77" s="576"/>
      <c r="K77" s="576"/>
      <c r="L77" s="576"/>
      <c r="M77" s="576"/>
      <c r="N77" s="631"/>
      <c r="O77" s="685">
        <f t="shared" si="9"/>
        <v>0</v>
      </c>
      <c r="P77" s="576"/>
      <c r="Q77" s="673"/>
      <c r="R77" s="651"/>
      <c r="S77" s="576"/>
      <c r="T77" s="725"/>
      <c r="U77" s="725"/>
      <c r="V77" s="725"/>
      <c r="W77" s="725"/>
      <c r="X77" s="725"/>
      <c r="Y77" s="726"/>
      <c r="Z77" s="726"/>
      <c r="AA77" s="726"/>
      <c r="AB77" s="725"/>
      <c r="AC77" s="50" t="s">
        <v>703</v>
      </c>
    </row>
    <row r="78" spans="1:29" s="211" customFormat="1" hidden="1">
      <c r="A78" s="303" t="s">
        <v>151</v>
      </c>
      <c r="B78" s="289">
        <v>2330</v>
      </c>
      <c r="C78" s="297">
        <v>853</v>
      </c>
      <c r="D78" s="297">
        <v>291</v>
      </c>
      <c r="E78" s="304">
        <v>0</v>
      </c>
      <c r="F78" s="591"/>
      <c r="G78" s="591"/>
      <c r="H78" s="591"/>
      <c r="I78" s="591"/>
      <c r="J78" s="591"/>
      <c r="K78" s="591"/>
      <c r="L78" s="591"/>
      <c r="M78" s="591"/>
      <c r="N78" s="630"/>
      <c r="O78" s="685">
        <f t="shared" si="9"/>
        <v>0</v>
      </c>
      <c r="P78" s="591"/>
      <c r="Q78" s="672"/>
      <c r="R78" s="650"/>
      <c r="S78" s="591"/>
      <c r="T78" s="304">
        <v>0</v>
      </c>
      <c r="U78" s="304">
        <v>19701</v>
      </c>
      <c r="V78" s="304">
        <v>19701</v>
      </c>
      <c r="W78" s="304">
        <v>19701</v>
      </c>
      <c r="X78" s="304">
        <v>0</v>
      </c>
      <c r="Y78" s="305"/>
      <c r="Z78" s="305"/>
      <c r="AA78" s="305"/>
      <c r="AB78" s="301" t="s">
        <v>127</v>
      </c>
    </row>
    <row r="79" spans="1:29" s="211" customFormat="1" ht="30" hidden="1">
      <c r="A79" s="303" t="s">
        <v>152</v>
      </c>
      <c r="B79" s="289">
        <v>2330</v>
      </c>
      <c r="C79" s="297">
        <v>853</v>
      </c>
      <c r="D79" s="297">
        <v>297</v>
      </c>
      <c r="E79" s="304">
        <v>56526.33</v>
      </c>
      <c r="F79" s="591"/>
      <c r="G79" s="591"/>
      <c r="H79" s="591"/>
      <c r="I79" s="591"/>
      <c r="J79" s="591"/>
      <c r="K79" s="591"/>
      <c r="L79" s="591"/>
      <c r="M79" s="591"/>
      <c r="N79" s="630"/>
      <c r="O79" s="685">
        <f t="shared" si="9"/>
        <v>0</v>
      </c>
      <c r="P79" s="591"/>
      <c r="Q79" s="672"/>
      <c r="R79" s="650"/>
      <c r="S79" s="591"/>
      <c r="T79" s="304">
        <v>43633.54</v>
      </c>
      <c r="U79" s="305">
        <f>[1]Лист10!J51</f>
        <v>7568.56</v>
      </c>
      <c r="V79" s="305">
        <f>[1]Лист10!J41</f>
        <v>57383.81</v>
      </c>
      <c r="W79" s="305">
        <v>0</v>
      </c>
      <c r="X79" s="304">
        <v>47143.18</v>
      </c>
      <c r="Y79" s="305">
        <f>[1]Лист10!N51</f>
        <v>7810.55</v>
      </c>
      <c r="Z79" s="305">
        <f>[1]Лист10!N41</f>
        <v>57383.81</v>
      </c>
      <c r="AA79" s="305">
        <v>0</v>
      </c>
      <c r="AB79" s="301" t="s">
        <v>127</v>
      </c>
    </row>
    <row r="80" spans="1:29" s="211" customFormat="1" hidden="1">
      <c r="A80" s="303" t="s">
        <v>663</v>
      </c>
      <c r="B80" s="289">
        <v>2330</v>
      </c>
      <c r="C80" s="297">
        <v>853</v>
      </c>
      <c r="D80" s="297">
        <v>295</v>
      </c>
      <c r="E80" s="304">
        <f>588824.12+F80+L80+O80+R80</f>
        <v>588894.12</v>
      </c>
      <c r="F80" s="591"/>
      <c r="G80" s="591"/>
      <c r="H80" s="591"/>
      <c r="I80" s="591"/>
      <c r="J80" s="591"/>
      <c r="K80" s="591"/>
      <c r="L80" s="591">
        <f>M80+N80</f>
        <v>70</v>
      </c>
      <c r="M80" s="591">
        <v>70</v>
      </c>
      <c r="N80" s="630"/>
      <c r="O80" s="685">
        <f t="shared" si="9"/>
        <v>0</v>
      </c>
      <c r="P80" s="591"/>
      <c r="Q80" s="672"/>
      <c r="R80" s="650"/>
      <c r="S80" s="591"/>
      <c r="T80" s="304">
        <v>0</v>
      </c>
      <c r="U80" s="305">
        <f>[1]Лист10!J52</f>
        <v>0</v>
      </c>
      <c r="V80" s="305">
        <f>[1]Лист10!J42</f>
        <v>2108376.81</v>
      </c>
      <c r="W80" s="305">
        <v>0</v>
      </c>
      <c r="X80" s="304">
        <v>0</v>
      </c>
      <c r="Y80" s="305">
        <f>[1]Лист10!N52</f>
        <v>0</v>
      </c>
      <c r="Z80" s="305">
        <f>[1]Лист10!N42</f>
        <v>2052317.06</v>
      </c>
      <c r="AA80" s="305">
        <v>0</v>
      </c>
      <c r="AB80" s="301" t="s">
        <v>127</v>
      </c>
    </row>
    <row r="81" spans="1:28">
      <c r="A81" s="694" t="s">
        <v>153</v>
      </c>
      <c r="B81" s="695">
        <v>2400</v>
      </c>
      <c r="C81" s="695" t="s">
        <v>128</v>
      </c>
      <c r="D81" s="695" t="s">
        <v>32</v>
      </c>
      <c r="E81" s="715" t="s">
        <v>127</v>
      </c>
      <c r="F81" s="591"/>
      <c r="G81" s="591"/>
      <c r="H81" s="591"/>
      <c r="I81" s="591"/>
      <c r="J81" s="591"/>
      <c r="K81" s="591"/>
      <c r="L81" s="591"/>
      <c r="M81" s="591"/>
      <c r="N81" s="630"/>
      <c r="O81" s="685">
        <f t="shared" si="9"/>
        <v>0</v>
      </c>
      <c r="P81" s="591"/>
      <c r="Q81" s="672"/>
      <c r="R81" s="650"/>
      <c r="S81" s="591"/>
      <c r="T81" s="717" t="s">
        <v>127</v>
      </c>
      <c r="U81" s="713"/>
      <c r="V81" s="713"/>
      <c r="W81" s="713"/>
      <c r="X81" s="717" t="s">
        <v>127</v>
      </c>
      <c r="Y81" s="713"/>
      <c r="Z81" s="713"/>
      <c r="AA81" s="713"/>
      <c r="AB81" s="696" t="s">
        <v>127</v>
      </c>
    </row>
    <row r="82" spans="1:28">
      <c r="A82" s="694"/>
      <c r="B82" s="695"/>
      <c r="C82" s="695"/>
      <c r="D82" s="695"/>
      <c r="E82" s="716"/>
      <c r="F82" s="591"/>
      <c r="G82" s="591"/>
      <c r="H82" s="591"/>
      <c r="I82" s="591"/>
      <c r="J82" s="591"/>
      <c r="K82" s="591"/>
      <c r="L82" s="591"/>
      <c r="M82" s="591"/>
      <c r="N82" s="630"/>
      <c r="O82" s="685">
        <f t="shared" si="9"/>
        <v>0</v>
      </c>
      <c r="P82" s="591"/>
      <c r="Q82" s="672"/>
      <c r="R82" s="650"/>
      <c r="S82" s="591"/>
      <c r="T82" s="717"/>
      <c r="U82" s="713"/>
      <c r="V82" s="713"/>
      <c r="W82" s="713"/>
      <c r="X82" s="717"/>
      <c r="Y82" s="713"/>
      <c r="Z82" s="713"/>
      <c r="AA82" s="713"/>
      <c r="AB82" s="696"/>
    </row>
    <row r="83" spans="1:28">
      <c r="A83" s="410" t="s">
        <v>134</v>
      </c>
      <c r="B83" s="695">
        <v>2410</v>
      </c>
      <c r="C83" s="695">
        <v>613</v>
      </c>
      <c r="D83" s="695" t="s">
        <v>32</v>
      </c>
      <c r="E83" s="715" t="s">
        <v>127</v>
      </c>
      <c r="F83" s="591"/>
      <c r="G83" s="591"/>
      <c r="H83" s="591"/>
      <c r="I83" s="591"/>
      <c r="J83" s="591"/>
      <c r="K83" s="591"/>
      <c r="L83" s="591"/>
      <c r="M83" s="591"/>
      <c r="N83" s="630"/>
      <c r="O83" s="685">
        <f t="shared" si="9"/>
        <v>0</v>
      </c>
      <c r="P83" s="591"/>
      <c r="Q83" s="672"/>
      <c r="R83" s="650"/>
      <c r="S83" s="591"/>
      <c r="T83" s="717" t="s">
        <v>127</v>
      </c>
      <c r="U83" s="713"/>
      <c r="V83" s="713"/>
      <c r="W83" s="713"/>
      <c r="X83" s="717" t="s">
        <v>127</v>
      </c>
      <c r="Y83" s="713"/>
      <c r="Z83" s="713"/>
      <c r="AA83" s="713"/>
      <c r="AB83" s="696" t="s">
        <v>127</v>
      </c>
    </row>
    <row r="84" spans="1:28" ht="30">
      <c r="A84" s="410" t="s">
        <v>154</v>
      </c>
      <c r="B84" s="695"/>
      <c r="C84" s="695"/>
      <c r="D84" s="695"/>
      <c r="E84" s="716"/>
      <c r="F84" s="591"/>
      <c r="G84" s="591"/>
      <c r="H84" s="591"/>
      <c r="I84" s="591"/>
      <c r="J84" s="591"/>
      <c r="K84" s="591"/>
      <c r="L84" s="591"/>
      <c r="M84" s="591"/>
      <c r="N84" s="630"/>
      <c r="O84" s="685">
        <f t="shared" si="9"/>
        <v>0</v>
      </c>
      <c r="P84" s="591"/>
      <c r="Q84" s="672"/>
      <c r="R84" s="650"/>
      <c r="S84" s="591"/>
      <c r="T84" s="717"/>
      <c r="U84" s="713"/>
      <c r="V84" s="713"/>
      <c r="W84" s="713"/>
      <c r="X84" s="717"/>
      <c r="Y84" s="713"/>
      <c r="Z84" s="713"/>
      <c r="AA84" s="713"/>
      <c r="AB84" s="696"/>
    </row>
    <row r="85" spans="1:28" ht="20.25" customHeight="1">
      <c r="A85" s="694" t="s">
        <v>155</v>
      </c>
      <c r="B85" s="695">
        <v>2420</v>
      </c>
      <c r="C85" s="695">
        <v>623</v>
      </c>
      <c r="D85" s="695" t="s">
        <v>32</v>
      </c>
      <c r="E85" s="715" t="s">
        <v>127</v>
      </c>
      <c r="F85" s="591"/>
      <c r="G85" s="591"/>
      <c r="H85" s="591"/>
      <c r="I85" s="591"/>
      <c r="J85" s="591"/>
      <c r="K85" s="591"/>
      <c r="L85" s="591"/>
      <c r="M85" s="591"/>
      <c r="N85" s="630"/>
      <c r="O85" s="685">
        <f t="shared" si="9"/>
        <v>0</v>
      </c>
      <c r="P85" s="591"/>
      <c r="Q85" s="672"/>
      <c r="R85" s="650"/>
      <c r="S85" s="591"/>
      <c r="T85" s="717" t="s">
        <v>127</v>
      </c>
      <c r="U85" s="713"/>
      <c r="V85" s="713"/>
      <c r="W85" s="713"/>
      <c r="X85" s="717" t="s">
        <v>127</v>
      </c>
      <c r="Y85" s="713"/>
      <c r="Z85" s="713"/>
      <c r="AA85" s="713"/>
      <c r="AB85" s="696" t="s">
        <v>127</v>
      </c>
    </row>
    <row r="86" spans="1:28" ht="20.25" customHeight="1">
      <c r="A86" s="694"/>
      <c r="B86" s="695"/>
      <c r="C86" s="695"/>
      <c r="D86" s="695"/>
      <c r="E86" s="716"/>
      <c r="F86" s="591"/>
      <c r="G86" s="591"/>
      <c r="H86" s="591"/>
      <c r="I86" s="591"/>
      <c r="J86" s="591"/>
      <c r="K86" s="591"/>
      <c r="L86" s="591"/>
      <c r="M86" s="591"/>
      <c r="N86" s="630"/>
      <c r="O86" s="685">
        <f t="shared" si="9"/>
        <v>0</v>
      </c>
      <c r="P86" s="591"/>
      <c r="Q86" s="672"/>
      <c r="R86" s="650"/>
      <c r="S86" s="591"/>
      <c r="T86" s="717"/>
      <c r="U86" s="713"/>
      <c r="V86" s="713"/>
      <c r="W86" s="713"/>
      <c r="X86" s="717"/>
      <c r="Y86" s="713"/>
      <c r="Z86" s="713"/>
      <c r="AA86" s="713"/>
      <c r="AB86" s="696"/>
    </row>
    <row r="87" spans="1:28" ht="62.25" customHeight="1">
      <c r="A87" s="410" t="s">
        <v>156</v>
      </c>
      <c r="B87" s="411">
        <v>2430</v>
      </c>
      <c r="C87" s="411">
        <v>634</v>
      </c>
      <c r="D87" s="411" t="s">
        <v>32</v>
      </c>
      <c r="E87" s="417" t="s">
        <v>127</v>
      </c>
      <c r="F87" s="591"/>
      <c r="G87" s="591"/>
      <c r="H87" s="591"/>
      <c r="I87" s="591"/>
      <c r="J87" s="591"/>
      <c r="K87" s="591"/>
      <c r="L87" s="591"/>
      <c r="M87" s="591"/>
      <c r="N87" s="630"/>
      <c r="O87" s="685">
        <f t="shared" si="9"/>
        <v>0</v>
      </c>
      <c r="P87" s="591"/>
      <c r="Q87" s="672"/>
      <c r="R87" s="650"/>
      <c r="S87" s="591"/>
      <c r="T87" s="417" t="s">
        <v>127</v>
      </c>
      <c r="U87" s="416"/>
      <c r="V87" s="416"/>
      <c r="W87" s="416"/>
      <c r="X87" s="417" t="s">
        <v>127</v>
      </c>
      <c r="Y87" s="416"/>
      <c r="Z87" s="416"/>
      <c r="AA87" s="416"/>
      <c r="AB87" s="412" t="s">
        <v>127</v>
      </c>
    </row>
    <row r="88" spans="1:28" ht="30">
      <c r="A88" s="410" t="s">
        <v>157</v>
      </c>
      <c r="B88" s="411">
        <v>2440</v>
      </c>
      <c r="C88" s="411">
        <v>810</v>
      </c>
      <c r="D88" s="411" t="s">
        <v>32</v>
      </c>
      <c r="E88" s="417" t="s">
        <v>127</v>
      </c>
      <c r="F88" s="591"/>
      <c r="G88" s="591"/>
      <c r="H88" s="591"/>
      <c r="I88" s="591"/>
      <c r="J88" s="591"/>
      <c r="K88" s="591"/>
      <c r="L88" s="591"/>
      <c r="M88" s="591"/>
      <c r="N88" s="630"/>
      <c r="O88" s="685">
        <f t="shared" si="9"/>
        <v>0</v>
      </c>
      <c r="P88" s="591"/>
      <c r="Q88" s="672"/>
      <c r="R88" s="650"/>
      <c r="S88" s="591"/>
      <c r="T88" s="417" t="s">
        <v>127</v>
      </c>
      <c r="U88" s="416"/>
      <c r="V88" s="416"/>
      <c r="W88" s="416"/>
      <c r="X88" s="417" t="s">
        <v>127</v>
      </c>
      <c r="Y88" s="416"/>
      <c r="Z88" s="416"/>
      <c r="AA88" s="416"/>
      <c r="AB88" s="412" t="s">
        <v>127</v>
      </c>
    </row>
    <row r="89" spans="1:28">
      <c r="A89" s="410" t="s">
        <v>158</v>
      </c>
      <c r="B89" s="411">
        <v>2450</v>
      </c>
      <c r="C89" s="411">
        <v>862</v>
      </c>
      <c r="D89" s="411" t="s">
        <v>32</v>
      </c>
      <c r="E89" s="417" t="s">
        <v>127</v>
      </c>
      <c r="F89" s="591"/>
      <c r="G89" s="591"/>
      <c r="H89" s="591"/>
      <c r="I89" s="591"/>
      <c r="J89" s="591"/>
      <c r="K89" s="591"/>
      <c r="L89" s="591"/>
      <c r="M89" s="591"/>
      <c r="N89" s="630"/>
      <c r="O89" s="685">
        <f t="shared" si="9"/>
        <v>0</v>
      </c>
      <c r="P89" s="591"/>
      <c r="Q89" s="672"/>
      <c r="R89" s="650"/>
      <c r="S89" s="591"/>
      <c r="T89" s="417" t="s">
        <v>127</v>
      </c>
      <c r="U89" s="416"/>
      <c r="V89" s="416"/>
      <c r="W89" s="416"/>
      <c r="X89" s="417" t="s">
        <v>127</v>
      </c>
      <c r="Y89" s="416"/>
      <c r="Z89" s="416"/>
      <c r="AA89" s="416"/>
      <c r="AB89" s="412" t="s">
        <v>127</v>
      </c>
    </row>
    <row r="90" spans="1:28" ht="60">
      <c r="A90" s="410" t="s">
        <v>159</v>
      </c>
      <c r="B90" s="411">
        <v>2460</v>
      </c>
      <c r="C90" s="411">
        <v>863</v>
      </c>
      <c r="D90" s="411" t="s">
        <v>32</v>
      </c>
      <c r="E90" s="417" t="s">
        <v>127</v>
      </c>
      <c r="F90" s="591"/>
      <c r="G90" s="591"/>
      <c r="H90" s="591"/>
      <c r="I90" s="591"/>
      <c r="J90" s="591"/>
      <c r="K90" s="591"/>
      <c r="L90" s="591"/>
      <c r="M90" s="591"/>
      <c r="N90" s="630"/>
      <c r="O90" s="685">
        <f t="shared" si="9"/>
        <v>0</v>
      </c>
      <c r="P90" s="591"/>
      <c r="Q90" s="672"/>
      <c r="R90" s="650"/>
      <c r="S90" s="591"/>
      <c r="T90" s="417" t="s">
        <v>127</v>
      </c>
      <c r="U90" s="416"/>
      <c r="V90" s="416"/>
      <c r="W90" s="416"/>
      <c r="X90" s="417" t="s">
        <v>127</v>
      </c>
      <c r="Y90" s="416"/>
      <c r="Z90" s="416"/>
      <c r="AA90" s="416"/>
      <c r="AB90" s="412" t="s">
        <v>127</v>
      </c>
    </row>
    <row r="91" spans="1:28">
      <c r="A91" s="694" t="s">
        <v>160</v>
      </c>
      <c r="B91" s="695">
        <v>2500</v>
      </c>
      <c r="C91" s="695" t="s">
        <v>32</v>
      </c>
      <c r="D91" s="695" t="s">
        <v>32</v>
      </c>
      <c r="E91" s="715">
        <v>0</v>
      </c>
      <c r="F91" s="591"/>
      <c r="G91" s="591"/>
      <c r="H91" s="591"/>
      <c r="I91" s="591"/>
      <c r="J91" s="591"/>
      <c r="K91" s="591"/>
      <c r="L91" s="591"/>
      <c r="M91" s="591"/>
      <c r="N91" s="630"/>
      <c r="O91" s="685">
        <f t="shared" si="9"/>
        <v>0</v>
      </c>
      <c r="P91" s="591"/>
      <c r="Q91" s="672"/>
      <c r="R91" s="650"/>
      <c r="S91" s="591"/>
      <c r="T91" s="717">
        <v>0</v>
      </c>
      <c r="U91" s="713"/>
      <c r="V91" s="713"/>
      <c r="W91" s="713"/>
      <c r="X91" s="717">
        <v>0</v>
      </c>
      <c r="Y91" s="713"/>
      <c r="Z91" s="713"/>
      <c r="AA91" s="713"/>
      <c r="AB91" s="696" t="s">
        <v>127</v>
      </c>
    </row>
    <row r="92" spans="1:28">
      <c r="A92" s="694"/>
      <c r="B92" s="695"/>
      <c r="C92" s="695"/>
      <c r="D92" s="695"/>
      <c r="E92" s="716"/>
      <c r="F92" s="591"/>
      <c r="G92" s="591"/>
      <c r="H92" s="591"/>
      <c r="I92" s="591"/>
      <c r="J92" s="591"/>
      <c r="K92" s="591"/>
      <c r="L92" s="591"/>
      <c r="M92" s="591"/>
      <c r="N92" s="630"/>
      <c r="O92" s="685">
        <f t="shared" si="9"/>
        <v>0</v>
      </c>
      <c r="P92" s="591"/>
      <c r="Q92" s="672"/>
      <c r="R92" s="650"/>
      <c r="S92" s="591"/>
      <c r="T92" s="717"/>
      <c r="U92" s="713"/>
      <c r="V92" s="713"/>
      <c r="W92" s="713"/>
      <c r="X92" s="717"/>
      <c r="Y92" s="713"/>
      <c r="Z92" s="713"/>
      <c r="AA92" s="713"/>
      <c r="AB92" s="696"/>
    </row>
    <row r="93" spans="1:28" ht="90">
      <c r="A93" s="410" t="s">
        <v>161</v>
      </c>
      <c r="B93" s="411">
        <v>2520</v>
      </c>
      <c r="C93" s="411">
        <v>831</v>
      </c>
      <c r="D93" s="411" t="s">
        <v>32</v>
      </c>
      <c r="E93" s="411" t="s">
        <v>127</v>
      </c>
      <c r="F93" s="591"/>
      <c r="G93" s="591"/>
      <c r="H93" s="591"/>
      <c r="I93" s="591"/>
      <c r="J93" s="591"/>
      <c r="K93" s="591"/>
      <c r="L93" s="591"/>
      <c r="M93" s="591"/>
      <c r="N93" s="630"/>
      <c r="O93" s="685">
        <f t="shared" si="9"/>
        <v>0</v>
      </c>
      <c r="P93" s="591"/>
      <c r="Q93" s="672"/>
      <c r="R93" s="650"/>
      <c r="S93" s="591"/>
      <c r="T93" s="411" t="s">
        <v>127</v>
      </c>
      <c r="U93" s="416"/>
      <c r="V93" s="416"/>
      <c r="W93" s="416"/>
      <c r="X93" s="411" t="s">
        <v>127</v>
      </c>
      <c r="Y93" s="416"/>
      <c r="Z93" s="416"/>
      <c r="AA93" s="416"/>
      <c r="AB93" s="412" t="s">
        <v>127</v>
      </c>
    </row>
    <row r="94" spans="1:28">
      <c r="A94" s="694" t="s">
        <v>162</v>
      </c>
      <c r="B94" s="695">
        <v>2600</v>
      </c>
      <c r="C94" s="695" t="s">
        <v>32</v>
      </c>
      <c r="D94" s="695" t="s">
        <v>32</v>
      </c>
      <c r="E94" s="715">
        <f>E100</f>
        <v>24832578</v>
      </c>
      <c r="F94" s="584"/>
      <c r="G94" s="584"/>
      <c r="H94" s="584"/>
      <c r="I94" s="584"/>
      <c r="J94" s="584"/>
      <c r="K94" s="584"/>
      <c r="L94" s="584"/>
      <c r="M94" s="584"/>
      <c r="N94" s="615"/>
      <c r="O94" s="685">
        <f t="shared" si="9"/>
        <v>0</v>
      </c>
      <c r="P94" s="584"/>
      <c r="Q94" s="665"/>
      <c r="R94" s="616"/>
      <c r="S94" s="584"/>
      <c r="T94" s="717">
        <f>T100</f>
        <v>22908114.390000001</v>
      </c>
      <c r="U94" s="718"/>
      <c r="V94" s="718"/>
      <c r="W94" s="718"/>
      <c r="X94" s="717">
        <f>X100</f>
        <v>15133385.050000001</v>
      </c>
      <c r="Y94" s="718"/>
      <c r="Z94" s="718"/>
      <c r="AA94" s="718"/>
      <c r="AB94" s="696" t="s">
        <v>127</v>
      </c>
    </row>
    <row r="95" spans="1:28">
      <c r="A95" s="714"/>
      <c r="B95" s="695"/>
      <c r="C95" s="695"/>
      <c r="D95" s="695"/>
      <c r="E95" s="716"/>
      <c r="F95" s="584"/>
      <c r="G95" s="584"/>
      <c r="H95" s="584"/>
      <c r="I95" s="584"/>
      <c r="J95" s="584"/>
      <c r="K95" s="584"/>
      <c r="L95" s="584"/>
      <c r="M95" s="584"/>
      <c r="N95" s="615"/>
      <c r="O95" s="685">
        <f t="shared" si="9"/>
        <v>0</v>
      </c>
      <c r="P95" s="584"/>
      <c r="Q95" s="665"/>
      <c r="R95" s="616"/>
      <c r="S95" s="584"/>
      <c r="T95" s="717"/>
      <c r="U95" s="718"/>
      <c r="V95" s="718"/>
      <c r="W95" s="718"/>
      <c r="X95" s="717"/>
      <c r="Y95" s="718"/>
      <c r="Z95" s="718"/>
      <c r="AA95" s="718"/>
      <c r="AB95" s="696"/>
    </row>
    <row r="96" spans="1:28">
      <c r="A96" s="428" t="s">
        <v>41</v>
      </c>
      <c r="B96" s="711">
        <v>2610</v>
      </c>
      <c r="C96" s="695">
        <v>241</v>
      </c>
      <c r="D96" s="695" t="s">
        <v>32</v>
      </c>
      <c r="E96" s="709" t="s">
        <v>127</v>
      </c>
      <c r="F96" s="584"/>
      <c r="G96" s="584"/>
      <c r="H96" s="584"/>
      <c r="I96" s="584"/>
      <c r="J96" s="584"/>
      <c r="K96" s="584"/>
      <c r="L96" s="584"/>
      <c r="M96" s="584"/>
      <c r="N96" s="615"/>
      <c r="O96" s="685">
        <f t="shared" si="9"/>
        <v>0</v>
      </c>
      <c r="P96" s="584"/>
      <c r="Q96" s="665"/>
      <c r="R96" s="616"/>
      <c r="S96" s="584"/>
      <c r="T96" s="695" t="s">
        <v>127</v>
      </c>
      <c r="U96" s="712"/>
      <c r="V96" s="429"/>
      <c r="W96" s="429"/>
      <c r="X96" s="695" t="s">
        <v>127</v>
      </c>
      <c r="Y96" s="712"/>
      <c r="Z96" s="429"/>
      <c r="AA96" s="429"/>
      <c r="AB96" s="696" t="s">
        <v>127</v>
      </c>
    </row>
    <row r="97" spans="1:29" ht="30">
      <c r="A97" s="430" t="s">
        <v>163</v>
      </c>
      <c r="B97" s="711"/>
      <c r="C97" s="695"/>
      <c r="D97" s="695"/>
      <c r="E97" s="710"/>
      <c r="F97" s="584"/>
      <c r="G97" s="584"/>
      <c r="H97" s="584"/>
      <c r="I97" s="584"/>
      <c r="J97" s="584"/>
      <c r="K97" s="584"/>
      <c r="L97" s="584"/>
      <c r="M97" s="584"/>
      <c r="N97" s="615"/>
      <c r="O97" s="685">
        <f t="shared" si="9"/>
        <v>0</v>
      </c>
      <c r="P97" s="584"/>
      <c r="Q97" s="665"/>
      <c r="R97" s="616"/>
      <c r="S97" s="584"/>
      <c r="T97" s="695"/>
      <c r="U97" s="712"/>
      <c r="V97" s="429"/>
      <c r="W97" s="429"/>
      <c r="X97" s="695"/>
      <c r="Y97" s="712"/>
      <c r="Z97" s="429"/>
      <c r="AA97" s="429"/>
      <c r="AB97" s="696"/>
    </row>
    <row r="98" spans="1:29">
      <c r="A98" s="708" t="s">
        <v>8</v>
      </c>
      <c r="B98" s="695">
        <v>2630</v>
      </c>
      <c r="C98" s="695">
        <v>243</v>
      </c>
      <c r="D98" s="695" t="s">
        <v>32</v>
      </c>
      <c r="E98" s="709" t="s">
        <v>127</v>
      </c>
      <c r="F98" s="584"/>
      <c r="G98" s="584"/>
      <c r="H98" s="584"/>
      <c r="I98" s="584"/>
      <c r="J98" s="584"/>
      <c r="K98" s="584"/>
      <c r="L98" s="584"/>
      <c r="M98" s="584"/>
      <c r="N98" s="615"/>
      <c r="O98" s="685">
        <f t="shared" si="9"/>
        <v>0</v>
      </c>
      <c r="P98" s="584"/>
      <c r="Q98" s="665"/>
      <c r="R98" s="616"/>
      <c r="S98" s="584"/>
      <c r="T98" s="695" t="s">
        <v>127</v>
      </c>
      <c r="U98" s="429"/>
      <c r="V98" s="429"/>
      <c r="W98" s="429"/>
      <c r="X98" s="695" t="s">
        <v>127</v>
      </c>
      <c r="Y98" s="429"/>
      <c r="Z98" s="429"/>
      <c r="AA98" s="429"/>
      <c r="AB98" s="696" t="s">
        <v>127</v>
      </c>
    </row>
    <row r="99" spans="1:29" ht="30" customHeight="1">
      <c r="A99" s="694"/>
      <c r="B99" s="695"/>
      <c r="C99" s="695"/>
      <c r="D99" s="695"/>
      <c r="E99" s="710"/>
      <c r="F99" s="584"/>
      <c r="G99" s="584"/>
      <c r="H99" s="584"/>
      <c r="I99" s="584"/>
      <c r="J99" s="584"/>
      <c r="K99" s="584"/>
      <c r="L99" s="584"/>
      <c r="M99" s="584"/>
      <c r="N99" s="615"/>
      <c r="O99" s="685">
        <f t="shared" si="9"/>
        <v>0</v>
      </c>
      <c r="P99" s="584"/>
      <c r="Q99" s="665"/>
      <c r="R99" s="616"/>
      <c r="S99" s="584"/>
      <c r="T99" s="695"/>
      <c r="U99" s="429"/>
      <c r="V99" s="429"/>
      <c r="W99" s="429"/>
      <c r="X99" s="695"/>
      <c r="Y99" s="429"/>
      <c r="Z99" s="429"/>
      <c r="AA99" s="429"/>
      <c r="AB99" s="696"/>
    </row>
    <row r="100" spans="1:29" s="50" customFormat="1" ht="30">
      <c r="A100" s="418" t="s">
        <v>682</v>
      </c>
      <c r="B100" s="419">
        <v>2640</v>
      </c>
      <c r="C100" s="419">
        <v>244</v>
      </c>
      <c r="D100" s="423" t="s">
        <v>711</v>
      </c>
      <c r="E100" s="422">
        <f>SUM(E102:E109)</f>
        <v>24832578</v>
      </c>
      <c r="F100" s="580"/>
      <c r="G100" s="580"/>
      <c r="H100" s="580"/>
      <c r="I100" s="580"/>
      <c r="J100" s="580"/>
      <c r="K100" s="580"/>
      <c r="L100" s="580"/>
      <c r="M100" s="580"/>
      <c r="N100" s="640"/>
      <c r="O100" s="685">
        <f t="shared" si="9"/>
        <v>0</v>
      </c>
      <c r="P100" s="580"/>
      <c r="Q100" s="683"/>
      <c r="R100" s="660"/>
      <c r="S100" s="580"/>
      <c r="T100" s="422">
        <f>SUM(T102:T109)</f>
        <v>22908114.390000001</v>
      </c>
      <c r="U100" s="422">
        <f t="shared" ref="U100:X100" si="12">SUM(U102:U109)</f>
        <v>0</v>
      </c>
      <c r="V100" s="422">
        <f t="shared" si="12"/>
        <v>0</v>
      </c>
      <c r="W100" s="422">
        <f t="shared" si="12"/>
        <v>0</v>
      </c>
      <c r="X100" s="422">
        <f t="shared" si="12"/>
        <v>15133385.050000001</v>
      </c>
      <c r="Y100" s="51">
        <f>[1]Лист10!R96+[1]Лист10!N120+[1]Лист11!O46+[1]Лист11!O69+[1]Лист12!K14+[1]Лист12!L110+[1]Лист12!L295</f>
        <v>4781922.4400000004</v>
      </c>
      <c r="Z100" s="51">
        <f>[1]Лист10!R84+[1]Лист10!N109+[1]Лист10!N138+[1]Лист11!N19+[1]Лист11!O34+[1]Лист11!O59+[1]Лист12!N36+[1]Лист12!L52+[1]Лист12!L62+[1]Лист12!L243</f>
        <v>8148592.71</v>
      </c>
      <c r="AA100" s="51">
        <v>0</v>
      </c>
      <c r="AB100" s="421" t="s">
        <v>127</v>
      </c>
      <c r="AC100" s="50" t="s">
        <v>702</v>
      </c>
    </row>
    <row r="101" spans="1:29" s="295" customFormat="1" hidden="1">
      <c r="A101" s="288" t="s">
        <v>134</v>
      </c>
      <c r="B101" s="289" t="s">
        <v>32</v>
      </c>
      <c r="C101" s="289" t="s">
        <v>32</v>
      </c>
      <c r="D101" s="289" t="s">
        <v>32</v>
      </c>
      <c r="E101" s="290" t="s">
        <v>32</v>
      </c>
      <c r="F101" s="584"/>
      <c r="G101" s="584"/>
      <c r="H101" s="584"/>
      <c r="I101" s="584"/>
      <c r="J101" s="584"/>
      <c r="K101" s="584"/>
      <c r="L101" s="595">
        <f t="shared" ref="L101:L109" si="13">M101+N101</f>
        <v>0</v>
      </c>
      <c r="M101" s="584"/>
      <c r="N101" s="615"/>
      <c r="O101" s="685">
        <f t="shared" si="9"/>
        <v>0</v>
      </c>
      <c r="P101" s="584"/>
      <c r="Q101" s="665"/>
      <c r="R101" s="616"/>
      <c r="S101" s="584"/>
      <c r="T101" s="290" t="s">
        <v>32</v>
      </c>
      <c r="U101" s="291"/>
      <c r="V101" s="291"/>
      <c r="W101" s="291"/>
      <c r="X101" s="292" t="s">
        <v>32</v>
      </c>
      <c r="Y101" s="293"/>
      <c r="Z101" s="291"/>
      <c r="AA101" s="291"/>
      <c r="AB101" s="294" t="s">
        <v>32</v>
      </c>
    </row>
    <row r="102" spans="1:29" s="211" customFormat="1" hidden="1">
      <c r="A102" s="296" t="s">
        <v>164</v>
      </c>
      <c r="B102" s="297">
        <v>2641</v>
      </c>
      <c r="C102" s="297">
        <v>244</v>
      </c>
      <c r="D102" s="297">
        <v>221</v>
      </c>
      <c r="E102" s="298">
        <v>212942.38</v>
      </c>
      <c r="F102" s="598"/>
      <c r="G102" s="598"/>
      <c r="H102" s="598"/>
      <c r="I102" s="598"/>
      <c r="J102" s="598"/>
      <c r="K102" s="598"/>
      <c r="L102" s="595">
        <f t="shared" si="13"/>
        <v>0</v>
      </c>
      <c r="M102" s="598"/>
      <c r="N102" s="641"/>
      <c r="O102" s="685">
        <f t="shared" si="9"/>
        <v>0</v>
      </c>
      <c r="P102" s="598"/>
      <c r="Q102" s="684"/>
      <c r="R102" s="661"/>
      <c r="S102" s="598"/>
      <c r="T102" s="298">
        <v>218702.4</v>
      </c>
      <c r="U102" s="299"/>
      <c r="V102" s="299"/>
      <c r="W102" s="300"/>
      <c r="X102" s="298">
        <v>225038.4</v>
      </c>
      <c r="Y102" s="299">
        <v>181320</v>
      </c>
      <c r="Z102" s="299">
        <v>108464.16</v>
      </c>
      <c r="AA102" s="299">
        <v>0</v>
      </c>
      <c r="AB102" s="301" t="s">
        <v>127</v>
      </c>
    </row>
    <row r="103" spans="1:29" s="211" customFormat="1" hidden="1">
      <c r="A103" s="296" t="s">
        <v>165</v>
      </c>
      <c r="B103" s="297">
        <v>2641</v>
      </c>
      <c r="C103" s="297">
        <v>244</v>
      </c>
      <c r="D103" s="297">
        <v>222</v>
      </c>
      <c r="E103" s="298">
        <v>407945.02</v>
      </c>
      <c r="F103" s="598"/>
      <c r="G103" s="598"/>
      <c r="H103" s="598"/>
      <c r="I103" s="598"/>
      <c r="J103" s="598"/>
      <c r="K103" s="598"/>
      <c r="L103" s="595">
        <f t="shared" si="13"/>
        <v>0</v>
      </c>
      <c r="M103" s="598"/>
      <c r="N103" s="641"/>
      <c r="O103" s="685">
        <f t="shared" si="9"/>
        <v>0</v>
      </c>
      <c r="P103" s="598"/>
      <c r="Q103" s="684"/>
      <c r="R103" s="661"/>
      <c r="S103" s="598"/>
      <c r="T103" s="298">
        <v>407945.02</v>
      </c>
      <c r="U103" s="299"/>
      <c r="V103" s="299"/>
      <c r="W103" s="300"/>
      <c r="X103" s="298">
        <v>407945.02</v>
      </c>
      <c r="Y103" s="299">
        <v>405383.61</v>
      </c>
      <c r="Z103" s="299">
        <v>79311.92</v>
      </c>
      <c r="AA103" s="299">
        <v>0</v>
      </c>
      <c r="AB103" s="301" t="s">
        <v>127</v>
      </c>
    </row>
    <row r="104" spans="1:29" s="211" customFormat="1" hidden="1">
      <c r="A104" s="296" t="s">
        <v>166</v>
      </c>
      <c r="B104" s="297">
        <v>2641</v>
      </c>
      <c r="C104" s="297">
        <v>244</v>
      </c>
      <c r="D104" s="297">
        <v>223</v>
      </c>
      <c r="E104" s="298">
        <v>920264</v>
      </c>
      <c r="F104" s="598"/>
      <c r="G104" s="598"/>
      <c r="H104" s="598"/>
      <c r="I104" s="598"/>
      <c r="J104" s="598"/>
      <c r="K104" s="598"/>
      <c r="L104" s="595">
        <f t="shared" si="13"/>
        <v>0</v>
      </c>
      <c r="M104" s="598"/>
      <c r="N104" s="641"/>
      <c r="O104" s="685">
        <f t="shared" si="9"/>
        <v>0</v>
      </c>
      <c r="P104" s="598"/>
      <c r="Q104" s="684"/>
      <c r="R104" s="661"/>
      <c r="S104" s="598"/>
      <c r="T104" s="298">
        <v>931405.93</v>
      </c>
      <c r="U104" s="299"/>
      <c r="V104" s="299"/>
      <c r="W104" s="297"/>
      <c r="X104" s="298">
        <v>944903.85</v>
      </c>
      <c r="Y104" s="299">
        <v>0</v>
      </c>
      <c r="Z104" s="299">
        <v>2057755.88</v>
      </c>
      <c r="AA104" s="299">
        <v>0</v>
      </c>
      <c r="AB104" s="301" t="s">
        <v>127</v>
      </c>
    </row>
    <row r="105" spans="1:29" s="211" customFormat="1" ht="30" hidden="1">
      <c r="A105" s="296" t="s">
        <v>167</v>
      </c>
      <c r="B105" s="297">
        <v>2641</v>
      </c>
      <c r="C105" s="297">
        <v>244</v>
      </c>
      <c r="D105" s="297">
        <v>224</v>
      </c>
      <c r="E105" s="298">
        <v>12428476.800000001</v>
      </c>
      <c r="F105" s="598"/>
      <c r="G105" s="598"/>
      <c r="H105" s="598"/>
      <c r="I105" s="598"/>
      <c r="J105" s="598"/>
      <c r="K105" s="598"/>
      <c r="L105" s="595">
        <f t="shared" si="13"/>
        <v>0</v>
      </c>
      <c r="M105" s="598"/>
      <c r="N105" s="641"/>
      <c r="O105" s="685">
        <f t="shared" si="9"/>
        <v>0</v>
      </c>
      <c r="P105" s="598"/>
      <c r="Q105" s="684"/>
      <c r="R105" s="661"/>
      <c r="S105" s="598"/>
      <c r="T105" s="298">
        <v>12428476.800000001</v>
      </c>
      <c r="U105" s="299"/>
      <c r="V105" s="299"/>
      <c r="W105" s="297"/>
      <c r="X105" s="298">
        <v>4721038.38</v>
      </c>
      <c r="Y105" s="299">
        <v>32196.28</v>
      </c>
      <c r="Z105" s="299">
        <v>1952688.71</v>
      </c>
      <c r="AA105" s="299">
        <v>0</v>
      </c>
      <c r="AB105" s="301" t="s">
        <v>127</v>
      </c>
    </row>
    <row r="106" spans="1:29" s="211" customFormat="1" ht="30" hidden="1">
      <c r="A106" s="296" t="s">
        <v>168</v>
      </c>
      <c r="B106" s="297">
        <v>2641</v>
      </c>
      <c r="C106" s="297">
        <v>244</v>
      </c>
      <c r="D106" s="297">
        <v>225</v>
      </c>
      <c r="E106" s="298">
        <f>600593.46-F106-I106-L106-O106-R106</f>
        <v>600593.46</v>
      </c>
      <c r="F106" s="598"/>
      <c r="G106" s="598"/>
      <c r="H106" s="598"/>
      <c r="I106" s="598"/>
      <c r="J106" s="598"/>
      <c r="K106" s="598"/>
      <c r="L106" s="595">
        <f t="shared" si="13"/>
        <v>0</v>
      </c>
      <c r="M106" s="598">
        <v>0</v>
      </c>
      <c r="N106" s="641"/>
      <c r="O106" s="685">
        <f t="shared" si="9"/>
        <v>0</v>
      </c>
      <c r="P106" s="598"/>
      <c r="Q106" s="684"/>
      <c r="R106" s="661"/>
      <c r="S106" s="598"/>
      <c r="T106" s="298">
        <v>513343.46</v>
      </c>
      <c r="U106" s="299"/>
      <c r="V106" s="299"/>
      <c r="W106" s="297"/>
      <c r="X106" s="298">
        <v>516301.48</v>
      </c>
      <c r="Y106" s="299">
        <v>32196.28</v>
      </c>
      <c r="Z106" s="299">
        <v>1952688.71</v>
      </c>
      <c r="AA106" s="299">
        <v>0</v>
      </c>
      <c r="AB106" s="301" t="s">
        <v>127</v>
      </c>
    </row>
    <row r="107" spans="1:29" s="211" customFormat="1" hidden="1">
      <c r="A107" s="296" t="s">
        <v>169</v>
      </c>
      <c r="B107" s="297">
        <v>2641</v>
      </c>
      <c r="C107" s="297">
        <v>244</v>
      </c>
      <c r="D107" s="297">
        <v>226</v>
      </c>
      <c r="E107" s="298">
        <f>4794396.76+2833303.54+F107+I107+L107</f>
        <v>7626900.2999999998</v>
      </c>
      <c r="F107" s="598"/>
      <c r="G107" s="598"/>
      <c r="H107" s="598"/>
      <c r="I107" s="598">
        <f>J107+K107</f>
        <v>-800</v>
      </c>
      <c r="J107" s="598"/>
      <c r="K107" s="598">
        <v>-800</v>
      </c>
      <c r="L107" s="595">
        <f t="shared" si="13"/>
        <v>0</v>
      </c>
      <c r="M107" s="598">
        <f>-11000+11000</f>
        <v>0</v>
      </c>
      <c r="N107" s="641"/>
      <c r="O107" s="685">
        <f t="shared" si="9"/>
        <v>0</v>
      </c>
      <c r="P107" s="598"/>
      <c r="Q107" s="684"/>
      <c r="R107" s="661"/>
      <c r="S107" s="598"/>
      <c r="T107" s="298">
        <f>4042779.12+2168787.38</f>
        <v>6211566.5</v>
      </c>
      <c r="U107" s="299"/>
      <c r="V107" s="299"/>
      <c r="W107" s="297"/>
      <c r="X107" s="298">
        <f>3963038.16+2294502.78</f>
        <v>6257540.9400000004</v>
      </c>
      <c r="Y107" s="299">
        <v>2742231.09</v>
      </c>
      <c r="Z107" s="299">
        <v>3644044.04</v>
      </c>
      <c r="AA107" s="299">
        <v>0</v>
      </c>
      <c r="AB107" s="301" t="s">
        <v>127</v>
      </c>
    </row>
    <row r="108" spans="1:29" s="211" customFormat="1" hidden="1">
      <c r="A108" s="296" t="s">
        <v>170</v>
      </c>
      <c r="B108" s="297">
        <v>2641</v>
      </c>
      <c r="C108" s="297">
        <v>244</v>
      </c>
      <c r="D108" s="297">
        <v>310</v>
      </c>
      <c r="E108" s="298">
        <f>300000+F108+I108+L108+O108+R108</f>
        <v>813930</v>
      </c>
      <c r="F108" s="595"/>
      <c r="G108" s="595"/>
      <c r="H108" s="595"/>
      <c r="I108" s="595">
        <f>J108+K108</f>
        <v>-6000</v>
      </c>
      <c r="J108" s="595">
        <v>-6000</v>
      </c>
      <c r="K108" s="595"/>
      <c r="L108" s="595">
        <f>M108+N108</f>
        <v>-20070</v>
      </c>
      <c r="M108" s="595">
        <v>-20070</v>
      </c>
      <c r="N108" s="642"/>
      <c r="O108" s="689">
        <f>P108++Q108</f>
        <v>540000</v>
      </c>
      <c r="P108" s="690">
        <v>540000</v>
      </c>
      <c r="Q108" s="691"/>
      <c r="R108" s="662"/>
      <c r="S108" s="595"/>
      <c r="T108" s="298">
        <v>200000</v>
      </c>
      <c r="U108" s="299"/>
      <c r="V108" s="299"/>
      <c r="W108" s="297"/>
      <c r="X108" s="298">
        <v>200000</v>
      </c>
      <c r="Y108" s="299">
        <v>76395.55</v>
      </c>
      <c r="Z108" s="299">
        <v>0</v>
      </c>
      <c r="AA108" s="299">
        <v>0</v>
      </c>
      <c r="AB108" s="301" t="s">
        <v>127</v>
      </c>
    </row>
    <row r="109" spans="1:29" s="211" customFormat="1" ht="30" hidden="1">
      <c r="A109" s="296" t="s">
        <v>171</v>
      </c>
      <c r="B109" s="297">
        <v>2641</v>
      </c>
      <c r="C109" s="297">
        <v>244</v>
      </c>
      <c r="D109" s="297">
        <v>340</v>
      </c>
      <c r="E109" s="298">
        <v>1821526.04</v>
      </c>
      <c r="F109" s="595"/>
      <c r="G109" s="595"/>
      <c r="H109" s="595"/>
      <c r="I109" s="595"/>
      <c r="J109" s="595"/>
      <c r="K109" s="595"/>
      <c r="L109" s="595">
        <f t="shared" si="13"/>
        <v>0</v>
      </c>
      <c r="M109" s="595"/>
      <c r="N109" s="642"/>
      <c r="O109" s="685">
        <f t="shared" ref="O109:O125" si="14">P109++Q109</f>
        <v>0</v>
      </c>
      <c r="P109" s="595"/>
      <c r="Q109" s="686"/>
      <c r="R109" s="662"/>
      <c r="S109" s="595"/>
      <c r="T109" s="298">
        <v>1996674.28</v>
      </c>
      <c r="U109" s="299"/>
      <c r="V109" s="299"/>
      <c r="W109" s="297"/>
      <c r="X109" s="298">
        <v>1860616.98</v>
      </c>
      <c r="Y109" s="299">
        <v>51330</v>
      </c>
      <c r="Z109" s="299">
        <v>0</v>
      </c>
      <c r="AA109" s="299">
        <v>0</v>
      </c>
      <c r="AB109" s="301" t="s">
        <v>127</v>
      </c>
    </row>
    <row r="110" spans="1:29" s="180" customFormat="1">
      <c r="A110" s="410" t="s">
        <v>683</v>
      </c>
      <c r="B110" s="411">
        <v>2650</v>
      </c>
      <c r="C110" s="247">
        <v>247</v>
      </c>
      <c r="D110" s="411" t="s">
        <v>32</v>
      </c>
      <c r="E110" s="411" t="s">
        <v>127</v>
      </c>
      <c r="F110" s="584"/>
      <c r="G110" s="584"/>
      <c r="H110" s="584"/>
      <c r="I110" s="584"/>
      <c r="J110" s="584"/>
      <c r="K110" s="584"/>
      <c r="L110" s="584"/>
      <c r="M110" s="584"/>
      <c r="N110" s="615"/>
      <c r="O110" s="685">
        <f t="shared" si="14"/>
        <v>0</v>
      </c>
      <c r="P110" s="584"/>
      <c r="Q110" s="665"/>
      <c r="R110" s="616"/>
      <c r="S110" s="584"/>
      <c r="T110" s="411" t="s">
        <v>127</v>
      </c>
      <c r="U110" s="57"/>
      <c r="V110" s="429"/>
      <c r="W110" s="429"/>
      <c r="X110" s="411" t="s">
        <v>127</v>
      </c>
      <c r="Y110" s="57"/>
      <c r="Z110" s="429"/>
      <c r="AA110" s="429"/>
      <c r="AB110" s="412" t="s">
        <v>127</v>
      </c>
    </row>
    <row r="111" spans="1:29" ht="30">
      <c r="A111" s="410" t="s">
        <v>172</v>
      </c>
      <c r="B111" s="247">
        <v>2700</v>
      </c>
      <c r="C111" s="411">
        <v>400</v>
      </c>
      <c r="D111" s="411" t="s">
        <v>32</v>
      </c>
      <c r="E111" s="411" t="s">
        <v>127</v>
      </c>
      <c r="F111" s="584"/>
      <c r="G111" s="584"/>
      <c r="H111" s="584"/>
      <c r="I111" s="584"/>
      <c r="J111" s="584"/>
      <c r="K111" s="584"/>
      <c r="L111" s="584"/>
      <c r="M111" s="584"/>
      <c r="N111" s="615"/>
      <c r="O111" s="685">
        <f t="shared" si="14"/>
        <v>0</v>
      </c>
      <c r="P111" s="584"/>
      <c r="Q111" s="665"/>
      <c r="R111" s="616"/>
      <c r="S111" s="584"/>
      <c r="T111" s="411" t="s">
        <v>127</v>
      </c>
      <c r="U111" s="57"/>
      <c r="V111" s="429"/>
      <c r="W111" s="429"/>
      <c r="X111" s="411" t="s">
        <v>127</v>
      </c>
      <c r="Y111" s="57"/>
      <c r="Z111" s="429"/>
      <c r="AA111" s="429"/>
      <c r="AB111" s="412" t="s">
        <v>127</v>
      </c>
    </row>
    <row r="112" spans="1:29" ht="45">
      <c r="A112" s="410" t="s">
        <v>173</v>
      </c>
      <c r="B112" s="247">
        <v>2710</v>
      </c>
      <c r="C112" s="411">
        <v>406</v>
      </c>
      <c r="D112" s="411" t="s">
        <v>32</v>
      </c>
      <c r="E112" s="411" t="s">
        <v>127</v>
      </c>
      <c r="F112" s="584"/>
      <c r="G112" s="584"/>
      <c r="H112" s="584"/>
      <c r="I112" s="584"/>
      <c r="J112" s="584"/>
      <c r="K112" s="584"/>
      <c r="L112" s="584"/>
      <c r="M112" s="584"/>
      <c r="N112" s="615"/>
      <c r="O112" s="685">
        <f t="shared" si="14"/>
        <v>0</v>
      </c>
      <c r="P112" s="584"/>
      <c r="Q112" s="665"/>
      <c r="R112" s="616"/>
      <c r="S112" s="584"/>
      <c r="T112" s="411" t="s">
        <v>127</v>
      </c>
      <c r="U112" s="57"/>
      <c r="V112" s="429"/>
      <c r="W112" s="429"/>
      <c r="X112" s="411" t="s">
        <v>127</v>
      </c>
      <c r="Y112" s="57"/>
      <c r="Z112" s="429"/>
      <c r="AA112" s="429"/>
      <c r="AB112" s="412" t="s">
        <v>127</v>
      </c>
    </row>
    <row r="113" spans="1:28" ht="45">
      <c r="A113" s="410" t="s">
        <v>174</v>
      </c>
      <c r="B113" s="247">
        <v>2720</v>
      </c>
      <c r="C113" s="411">
        <v>407</v>
      </c>
      <c r="D113" s="411" t="s">
        <v>32</v>
      </c>
      <c r="E113" s="411" t="s">
        <v>127</v>
      </c>
      <c r="F113" s="584"/>
      <c r="G113" s="584"/>
      <c r="H113" s="584"/>
      <c r="I113" s="584"/>
      <c r="J113" s="584"/>
      <c r="K113" s="584"/>
      <c r="L113" s="584"/>
      <c r="M113" s="584"/>
      <c r="N113" s="615"/>
      <c r="O113" s="685">
        <f t="shared" si="14"/>
        <v>0</v>
      </c>
      <c r="P113" s="584"/>
      <c r="Q113" s="665"/>
      <c r="R113" s="616"/>
      <c r="S113" s="584"/>
      <c r="T113" s="411" t="s">
        <v>127</v>
      </c>
      <c r="U113" s="57"/>
      <c r="V113" s="429"/>
      <c r="W113" s="429"/>
      <c r="X113" s="411" t="s">
        <v>127</v>
      </c>
      <c r="Y113" s="57"/>
      <c r="Z113" s="429"/>
      <c r="AA113" s="429"/>
      <c r="AB113" s="412" t="s">
        <v>127</v>
      </c>
    </row>
    <row r="114" spans="1:28">
      <c r="A114" s="694" t="s">
        <v>117</v>
      </c>
      <c r="B114" s="695">
        <v>3000</v>
      </c>
      <c r="C114" s="695">
        <v>100</v>
      </c>
      <c r="D114" s="696" t="s">
        <v>32</v>
      </c>
      <c r="E114" s="704">
        <v>-100000</v>
      </c>
      <c r="F114" s="592"/>
      <c r="G114" s="592"/>
      <c r="H114" s="592"/>
      <c r="I114" s="592"/>
      <c r="J114" s="592"/>
      <c r="K114" s="592"/>
      <c r="L114" s="592"/>
      <c r="M114" s="592"/>
      <c r="N114" s="632"/>
      <c r="O114" s="685">
        <f t="shared" si="14"/>
        <v>0</v>
      </c>
      <c r="P114" s="592"/>
      <c r="Q114" s="674"/>
      <c r="R114" s="652"/>
      <c r="S114" s="592"/>
      <c r="T114" s="696" t="s">
        <v>127</v>
      </c>
      <c r="U114" s="412"/>
      <c r="V114" s="412"/>
      <c r="W114" s="412"/>
      <c r="X114" s="696" t="s">
        <v>127</v>
      </c>
      <c r="Y114" s="411"/>
      <c r="Z114" s="411"/>
      <c r="AA114" s="411"/>
      <c r="AB114" s="696" t="s">
        <v>32</v>
      </c>
    </row>
    <row r="115" spans="1:28">
      <c r="A115" s="694"/>
      <c r="B115" s="695"/>
      <c r="C115" s="695"/>
      <c r="D115" s="696"/>
      <c r="E115" s="705"/>
      <c r="F115" s="592"/>
      <c r="G115" s="592"/>
      <c r="H115" s="592"/>
      <c r="I115" s="592"/>
      <c r="J115" s="592"/>
      <c r="K115" s="592"/>
      <c r="L115" s="592"/>
      <c r="M115" s="592"/>
      <c r="N115" s="632"/>
      <c r="O115" s="685">
        <f t="shared" si="14"/>
        <v>0</v>
      </c>
      <c r="P115" s="592"/>
      <c r="Q115" s="674"/>
      <c r="R115" s="652"/>
      <c r="S115" s="592"/>
      <c r="T115" s="696"/>
      <c r="U115" s="412"/>
      <c r="V115" s="412"/>
      <c r="W115" s="412"/>
      <c r="X115" s="696"/>
      <c r="Y115" s="411"/>
      <c r="Z115" s="411"/>
      <c r="AA115" s="411"/>
      <c r="AB115" s="696"/>
    </row>
    <row r="116" spans="1:28" s="257" customFormat="1" hidden="1">
      <c r="A116" s="252" t="s">
        <v>41</v>
      </c>
      <c r="B116" s="275" t="s">
        <v>32</v>
      </c>
      <c r="C116" s="275" t="s">
        <v>32</v>
      </c>
      <c r="D116" s="256" t="s">
        <v>32</v>
      </c>
      <c r="E116" s="256" t="s">
        <v>32</v>
      </c>
      <c r="F116" s="592"/>
      <c r="G116" s="592"/>
      <c r="H116" s="592"/>
      <c r="I116" s="592"/>
      <c r="J116" s="592"/>
      <c r="K116" s="592"/>
      <c r="L116" s="592"/>
      <c r="M116" s="592"/>
      <c r="N116" s="632"/>
      <c r="O116" s="685">
        <f t="shared" si="14"/>
        <v>0</v>
      </c>
      <c r="P116" s="592"/>
      <c r="Q116" s="674"/>
      <c r="R116" s="652"/>
      <c r="S116" s="592"/>
      <c r="T116" s="256" t="s">
        <v>32</v>
      </c>
      <c r="U116" s="256"/>
      <c r="V116" s="256"/>
      <c r="W116" s="256"/>
      <c r="X116" s="256" t="s">
        <v>32</v>
      </c>
      <c r="Y116" s="253"/>
      <c r="Z116" s="253"/>
      <c r="AA116" s="253"/>
      <c r="AB116" s="256" t="s">
        <v>32</v>
      </c>
    </row>
    <row r="117" spans="1:28" ht="30">
      <c r="A117" s="410" t="s">
        <v>684</v>
      </c>
      <c r="B117" s="411">
        <v>3010</v>
      </c>
      <c r="C117" s="411">
        <v>180</v>
      </c>
      <c r="D117" s="412" t="s">
        <v>32</v>
      </c>
      <c r="E117" s="412" t="s">
        <v>127</v>
      </c>
      <c r="F117" s="592"/>
      <c r="G117" s="592"/>
      <c r="H117" s="592"/>
      <c r="I117" s="592"/>
      <c r="J117" s="592"/>
      <c r="K117" s="592"/>
      <c r="L117" s="592"/>
      <c r="M117" s="592"/>
      <c r="N117" s="632"/>
      <c r="O117" s="685">
        <f t="shared" si="14"/>
        <v>0</v>
      </c>
      <c r="P117" s="592"/>
      <c r="Q117" s="674"/>
      <c r="R117" s="652"/>
      <c r="S117" s="592"/>
      <c r="T117" s="412" t="s">
        <v>127</v>
      </c>
      <c r="U117" s="412"/>
      <c r="V117" s="412"/>
      <c r="W117" s="412"/>
      <c r="X117" s="412" t="s">
        <v>127</v>
      </c>
      <c r="Y117" s="411"/>
      <c r="Z117" s="411"/>
      <c r="AA117" s="411"/>
      <c r="AB117" s="412" t="s">
        <v>32</v>
      </c>
    </row>
    <row r="118" spans="1:28" ht="7.5" customHeight="1">
      <c r="A118" s="694" t="s">
        <v>175</v>
      </c>
      <c r="B118" s="695">
        <v>3020</v>
      </c>
      <c r="C118" s="695">
        <v>180</v>
      </c>
      <c r="D118" s="696" t="s">
        <v>32</v>
      </c>
      <c r="E118" s="706" t="s">
        <v>127</v>
      </c>
      <c r="F118" s="592"/>
      <c r="G118" s="592"/>
      <c r="H118" s="592"/>
      <c r="I118" s="592"/>
      <c r="J118" s="592"/>
      <c r="K118" s="592"/>
      <c r="L118" s="592"/>
      <c r="M118" s="592"/>
      <c r="N118" s="632"/>
      <c r="O118" s="685">
        <f t="shared" si="14"/>
        <v>0</v>
      </c>
      <c r="P118" s="592"/>
      <c r="Q118" s="674"/>
      <c r="R118" s="652"/>
      <c r="S118" s="592"/>
      <c r="T118" s="696" t="s">
        <v>127</v>
      </c>
      <c r="U118" s="412"/>
      <c r="V118" s="412"/>
      <c r="W118" s="412"/>
      <c r="X118" s="696" t="s">
        <v>127</v>
      </c>
      <c r="Y118" s="411"/>
      <c r="Z118" s="411"/>
      <c r="AA118" s="411"/>
      <c r="AB118" s="696" t="s">
        <v>32</v>
      </c>
    </row>
    <row r="119" spans="1:28">
      <c r="A119" s="694"/>
      <c r="B119" s="695"/>
      <c r="C119" s="695"/>
      <c r="D119" s="696"/>
      <c r="E119" s="707"/>
      <c r="F119" s="592"/>
      <c r="G119" s="592"/>
      <c r="H119" s="592"/>
      <c r="I119" s="592"/>
      <c r="J119" s="592"/>
      <c r="K119" s="592"/>
      <c r="L119" s="592"/>
      <c r="M119" s="592"/>
      <c r="N119" s="632"/>
      <c r="O119" s="685">
        <f t="shared" si="14"/>
        <v>0</v>
      </c>
      <c r="P119" s="592"/>
      <c r="Q119" s="674"/>
      <c r="R119" s="652"/>
      <c r="S119" s="592"/>
      <c r="T119" s="696"/>
      <c r="U119" s="412"/>
      <c r="V119" s="412"/>
      <c r="W119" s="412"/>
      <c r="X119" s="696"/>
      <c r="Y119" s="411"/>
      <c r="Z119" s="411"/>
      <c r="AA119" s="411"/>
      <c r="AB119" s="696"/>
    </row>
    <row r="120" spans="1:28" ht="9" customHeight="1">
      <c r="A120" s="694" t="s">
        <v>176</v>
      </c>
      <c r="B120" s="695">
        <v>3030</v>
      </c>
      <c r="C120" s="695">
        <v>180</v>
      </c>
      <c r="D120" s="696" t="s">
        <v>32</v>
      </c>
      <c r="E120" s="704">
        <v>-100000</v>
      </c>
      <c r="F120" s="592"/>
      <c r="G120" s="592"/>
      <c r="H120" s="592"/>
      <c r="I120" s="592"/>
      <c r="J120" s="592"/>
      <c r="K120" s="592"/>
      <c r="L120" s="592"/>
      <c r="M120" s="592"/>
      <c r="N120" s="632"/>
      <c r="O120" s="685">
        <f t="shared" si="14"/>
        <v>0</v>
      </c>
      <c r="P120" s="592"/>
      <c r="Q120" s="674"/>
      <c r="R120" s="652"/>
      <c r="S120" s="592"/>
      <c r="T120" s="696" t="s">
        <v>127</v>
      </c>
      <c r="U120" s="412"/>
      <c r="V120" s="412"/>
      <c r="W120" s="412"/>
      <c r="X120" s="696" t="s">
        <v>127</v>
      </c>
      <c r="Y120" s="411"/>
      <c r="Z120" s="411"/>
      <c r="AA120" s="411"/>
      <c r="AB120" s="696" t="s">
        <v>32</v>
      </c>
    </row>
    <row r="121" spans="1:28">
      <c r="A121" s="694"/>
      <c r="B121" s="695"/>
      <c r="C121" s="695"/>
      <c r="D121" s="696"/>
      <c r="E121" s="705"/>
      <c r="F121" s="592"/>
      <c r="G121" s="592"/>
      <c r="H121" s="592"/>
      <c r="I121" s="592"/>
      <c r="J121" s="592"/>
      <c r="K121" s="592"/>
      <c r="L121" s="592"/>
      <c r="M121" s="592"/>
      <c r="N121" s="632"/>
      <c r="O121" s="685">
        <f t="shared" si="14"/>
        <v>0</v>
      </c>
      <c r="P121" s="592"/>
      <c r="Q121" s="674"/>
      <c r="R121" s="652"/>
      <c r="S121" s="592"/>
      <c r="T121" s="696"/>
      <c r="U121" s="412"/>
      <c r="V121" s="412"/>
      <c r="W121" s="412"/>
      <c r="X121" s="696"/>
      <c r="Y121" s="411"/>
      <c r="Z121" s="411"/>
      <c r="AA121" s="411"/>
      <c r="AB121" s="696"/>
    </row>
    <row r="122" spans="1:28">
      <c r="A122" s="410" t="s">
        <v>177</v>
      </c>
      <c r="B122" s="411">
        <v>4000</v>
      </c>
      <c r="C122" s="411" t="s">
        <v>32</v>
      </c>
      <c r="D122" s="412" t="s">
        <v>32</v>
      </c>
      <c r="E122" s="412" t="s">
        <v>127</v>
      </c>
      <c r="F122" s="592"/>
      <c r="G122" s="592"/>
      <c r="H122" s="592"/>
      <c r="I122" s="592"/>
      <c r="J122" s="592"/>
      <c r="K122" s="592"/>
      <c r="L122" s="592"/>
      <c r="M122" s="592"/>
      <c r="N122" s="632"/>
      <c r="O122" s="685">
        <f t="shared" si="14"/>
        <v>0</v>
      </c>
      <c r="P122" s="592"/>
      <c r="Q122" s="674"/>
      <c r="R122" s="652"/>
      <c r="S122" s="592"/>
      <c r="T122" s="412" t="s">
        <v>127</v>
      </c>
      <c r="U122" s="412"/>
      <c r="V122" s="412"/>
      <c r="W122" s="412"/>
      <c r="X122" s="412" t="s">
        <v>127</v>
      </c>
      <c r="Y122" s="411"/>
      <c r="Z122" s="411"/>
      <c r="AA122" s="411"/>
      <c r="AB122" s="412" t="s">
        <v>32</v>
      </c>
    </row>
    <row r="123" spans="1:28" s="257" customFormat="1" hidden="1">
      <c r="A123" s="252" t="s">
        <v>134</v>
      </c>
      <c r="B123" s="275" t="s">
        <v>32</v>
      </c>
      <c r="C123" s="275" t="s">
        <v>32</v>
      </c>
      <c r="D123" s="256" t="s">
        <v>32</v>
      </c>
      <c r="E123" s="256" t="s">
        <v>32</v>
      </c>
      <c r="F123" s="592"/>
      <c r="G123" s="592"/>
      <c r="H123" s="592"/>
      <c r="I123" s="592"/>
      <c r="J123" s="592"/>
      <c r="K123" s="592"/>
      <c r="L123" s="592"/>
      <c r="M123" s="592"/>
      <c r="N123" s="632"/>
      <c r="O123" s="685">
        <f t="shared" si="14"/>
        <v>0</v>
      </c>
      <c r="P123" s="592"/>
      <c r="Q123" s="674"/>
      <c r="R123" s="652"/>
      <c r="S123" s="592"/>
      <c r="T123" s="256" t="s">
        <v>32</v>
      </c>
      <c r="U123" s="256"/>
      <c r="V123" s="256"/>
      <c r="W123" s="256"/>
      <c r="X123" s="256" t="s">
        <v>32</v>
      </c>
      <c r="Y123" s="253"/>
      <c r="Z123" s="253"/>
      <c r="AA123" s="253"/>
      <c r="AB123" s="256" t="s">
        <v>32</v>
      </c>
    </row>
    <row r="124" spans="1:28" ht="30">
      <c r="A124" s="413" t="s">
        <v>685</v>
      </c>
      <c r="B124" s="411">
        <v>4010</v>
      </c>
      <c r="C124" s="411">
        <v>610</v>
      </c>
      <c r="D124" s="412" t="s">
        <v>32</v>
      </c>
      <c r="E124" s="412" t="s">
        <v>127</v>
      </c>
      <c r="F124" s="592"/>
      <c r="G124" s="592"/>
      <c r="H124" s="592"/>
      <c r="I124" s="592"/>
      <c r="J124" s="592"/>
      <c r="K124" s="592"/>
      <c r="L124" s="592"/>
      <c r="M124" s="592"/>
      <c r="N124" s="632"/>
      <c r="O124" s="685">
        <f t="shared" si="14"/>
        <v>0</v>
      </c>
      <c r="P124" s="592"/>
      <c r="Q124" s="674"/>
      <c r="R124" s="652"/>
      <c r="S124" s="592"/>
      <c r="T124" s="412" t="s">
        <v>127</v>
      </c>
      <c r="U124" s="412"/>
      <c r="V124" s="412"/>
      <c r="W124" s="412"/>
      <c r="X124" s="412" t="s">
        <v>127</v>
      </c>
      <c r="Y124" s="411"/>
      <c r="Z124" s="411"/>
      <c r="AA124" s="411"/>
      <c r="AB124" s="412" t="s">
        <v>32</v>
      </c>
    </row>
    <row r="125" spans="1:28" ht="60.75" thickBot="1">
      <c r="A125" s="413" t="s">
        <v>178</v>
      </c>
      <c r="B125" s="411">
        <v>4020</v>
      </c>
      <c r="C125" s="411">
        <v>610</v>
      </c>
      <c r="D125" s="412" t="s">
        <v>32</v>
      </c>
      <c r="E125" s="412" t="s">
        <v>127</v>
      </c>
      <c r="F125" s="592"/>
      <c r="G125" s="592"/>
      <c r="H125" s="592"/>
      <c r="I125" s="592"/>
      <c r="J125" s="592"/>
      <c r="K125" s="592"/>
      <c r="L125" s="592"/>
      <c r="M125" s="592"/>
      <c r="N125" s="632"/>
      <c r="O125" s="685">
        <f t="shared" si="14"/>
        <v>0</v>
      </c>
      <c r="P125" s="687"/>
      <c r="Q125" s="688"/>
      <c r="R125" s="652"/>
      <c r="S125" s="592"/>
      <c r="T125" s="412" t="s">
        <v>127</v>
      </c>
      <c r="U125" s="412"/>
      <c r="V125" s="412"/>
      <c r="W125" s="412"/>
      <c r="X125" s="412" t="s">
        <v>127</v>
      </c>
      <c r="Y125" s="411"/>
      <c r="Z125" s="411"/>
      <c r="AA125" s="411"/>
      <c r="AB125" s="412" t="s">
        <v>32</v>
      </c>
    </row>
    <row r="126" spans="1:28">
      <c r="A126" s="58"/>
      <c r="E126" s="58"/>
      <c r="F126" s="581"/>
      <c r="G126" s="581"/>
      <c r="H126" s="581"/>
      <c r="I126" s="581"/>
      <c r="J126" s="581"/>
      <c r="K126" s="581"/>
      <c r="L126" s="581"/>
      <c r="M126" s="581"/>
      <c r="N126" s="581"/>
      <c r="O126" s="581"/>
      <c r="P126" s="581"/>
      <c r="Q126" s="581"/>
      <c r="R126" s="581"/>
      <c r="S126" s="581"/>
      <c r="T126" s="58"/>
      <c r="U126" s="58"/>
      <c r="V126" s="58"/>
      <c r="W126" s="58"/>
      <c r="X126" s="58"/>
      <c r="Y126" s="58"/>
      <c r="Z126" s="58"/>
      <c r="AA126" s="58"/>
      <c r="AB126" s="59"/>
    </row>
    <row r="127" spans="1:28">
      <c r="A127" s="60" t="s">
        <v>181</v>
      </c>
      <c r="E127" s="58"/>
      <c r="F127" s="581"/>
      <c r="G127" s="581"/>
      <c r="H127" s="581"/>
      <c r="I127" s="581"/>
      <c r="J127" s="581"/>
      <c r="K127" s="581"/>
      <c r="L127" s="581"/>
      <c r="M127" s="581"/>
      <c r="N127" s="581"/>
      <c r="O127" s="581"/>
      <c r="P127" s="581"/>
      <c r="Q127" s="581"/>
      <c r="R127" s="581"/>
      <c r="S127" s="581"/>
      <c r="T127" s="58"/>
      <c r="U127" s="58"/>
      <c r="V127" s="58"/>
      <c r="W127" s="58"/>
      <c r="X127" s="58"/>
      <c r="Y127" s="58"/>
      <c r="Z127" s="58"/>
      <c r="AA127" s="58"/>
      <c r="AB127" s="59"/>
    </row>
    <row r="128" spans="1:28">
      <c r="A128" s="60" t="s">
        <v>182</v>
      </c>
      <c r="E128" s="58"/>
      <c r="F128" s="581"/>
      <c r="G128" s="581"/>
      <c r="H128" s="581"/>
      <c r="I128" s="581"/>
      <c r="J128" s="581"/>
      <c r="K128" s="581"/>
      <c r="L128" s="581"/>
      <c r="M128" s="581"/>
      <c r="N128" s="581"/>
      <c r="O128" s="581"/>
      <c r="P128" s="581"/>
      <c r="Q128" s="581"/>
      <c r="R128" s="581"/>
      <c r="S128" s="581"/>
      <c r="T128" s="58"/>
      <c r="U128" s="58"/>
      <c r="V128" s="58"/>
      <c r="W128" s="58"/>
      <c r="X128" s="58"/>
      <c r="Y128" s="58"/>
      <c r="Z128" s="58"/>
      <c r="AA128" s="58"/>
      <c r="AB128" s="59"/>
    </row>
    <row r="129" spans="1:28">
      <c r="A129" s="60" t="s">
        <v>183</v>
      </c>
      <c r="E129" s="58"/>
      <c r="F129" s="581"/>
      <c r="G129" s="581"/>
      <c r="H129" s="581"/>
      <c r="I129" s="581"/>
      <c r="J129" s="581"/>
      <c r="K129" s="581"/>
      <c r="L129" s="581"/>
      <c r="M129" s="581"/>
      <c r="N129" s="581"/>
      <c r="O129" s="581"/>
      <c r="P129" s="581"/>
      <c r="Q129" s="581"/>
      <c r="R129" s="581"/>
      <c r="S129" s="581"/>
      <c r="T129" s="58"/>
      <c r="U129" s="58"/>
      <c r="V129" s="58"/>
      <c r="W129" s="58"/>
      <c r="X129" s="58"/>
      <c r="Y129" s="58"/>
      <c r="Z129" s="58"/>
      <c r="AA129" s="58"/>
      <c r="AB129" s="59"/>
    </row>
    <row r="130" spans="1:28">
      <c r="A130" s="61" t="s">
        <v>184</v>
      </c>
      <c r="E130" s="58"/>
      <c r="F130" s="581"/>
      <c r="G130" s="581"/>
      <c r="H130" s="581"/>
      <c r="I130" s="581"/>
      <c r="J130" s="581"/>
      <c r="K130" s="581"/>
      <c r="L130" s="581"/>
      <c r="M130" s="581"/>
      <c r="N130" s="581"/>
      <c r="O130" s="581"/>
      <c r="P130" s="581"/>
      <c r="Q130" s="581"/>
      <c r="R130" s="581"/>
      <c r="S130" s="581"/>
      <c r="T130" s="58"/>
      <c r="U130" s="58"/>
      <c r="V130" s="58"/>
      <c r="W130" s="58"/>
      <c r="X130" s="58"/>
      <c r="Y130" s="58"/>
      <c r="Z130" s="58"/>
      <c r="AA130" s="58"/>
      <c r="AB130" s="59"/>
    </row>
    <row r="131" spans="1:28">
      <c r="A131" s="61" t="s">
        <v>185</v>
      </c>
      <c r="E131" s="58"/>
      <c r="F131" s="581"/>
      <c r="G131" s="581"/>
      <c r="H131" s="581"/>
      <c r="I131" s="581"/>
      <c r="J131" s="581"/>
      <c r="K131" s="581"/>
      <c r="L131" s="581"/>
      <c r="M131" s="581"/>
      <c r="N131" s="581"/>
      <c r="O131" s="581"/>
      <c r="P131" s="581"/>
      <c r="Q131" s="581"/>
      <c r="R131" s="581"/>
      <c r="S131" s="581"/>
      <c r="T131" s="58"/>
      <c r="U131" s="58"/>
      <c r="V131" s="58"/>
      <c r="W131" s="58"/>
      <c r="X131" s="58"/>
      <c r="Y131" s="58"/>
      <c r="Z131" s="58"/>
      <c r="AA131" s="58"/>
      <c r="AB131" s="59"/>
    </row>
    <row r="132" spans="1:28">
      <c r="A132" s="61" t="s">
        <v>186</v>
      </c>
      <c r="E132" s="58"/>
      <c r="F132" s="581"/>
      <c r="G132" s="581"/>
      <c r="H132" s="581"/>
      <c r="I132" s="581"/>
      <c r="J132" s="581"/>
      <c r="K132" s="581"/>
      <c r="L132" s="581"/>
      <c r="M132" s="581"/>
      <c r="N132" s="581"/>
      <c r="O132" s="581"/>
      <c r="P132" s="581"/>
      <c r="Q132" s="581"/>
      <c r="R132" s="581"/>
      <c r="S132" s="581"/>
      <c r="T132" s="58"/>
      <c r="U132" s="58"/>
      <c r="V132" s="58"/>
      <c r="W132" s="58"/>
      <c r="X132" s="58"/>
      <c r="Y132" s="58"/>
      <c r="Z132" s="58"/>
      <c r="AA132" s="58"/>
      <c r="AB132" s="59"/>
    </row>
    <row r="133" spans="1:28">
      <c r="A133" s="61" t="s">
        <v>187</v>
      </c>
      <c r="E133" s="58"/>
      <c r="F133" s="581"/>
      <c r="G133" s="581"/>
      <c r="H133" s="581"/>
      <c r="I133" s="581"/>
      <c r="J133" s="581"/>
      <c r="K133" s="581"/>
      <c r="L133" s="581"/>
      <c r="M133" s="581"/>
      <c r="N133" s="581"/>
      <c r="O133" s="581"/>
      <c r="P133" s="581"/>
      <c r="Q133" s="581"/>
      <c r="R133" s="581"/>
      <c r="S133" s="581"/>
      <c r="T133" s="58"/>
      <c r="U133" s="58"/>
      <c r="V133" s="58"/>
      <c r="W133" s="58"/>
      <c r="X133" s="58"/>
      <c r="Y133" s="58"/>
      <c r="Z133" s="58"/>
      <c r="AA133" s="58"/>
      <c r="AB133" s="59"/>
    </row>
    <row r="134" spans="1:28">
      <c r="A134" s="61" t="s">
        <v>188</v>
      </c>
      <c r="E134" s="58"/>
      <c r="F134" s="581"/>
      <c r="G134" s="581"/>
      <c r="H134" s="581"/>
      <c r="I134" s="581"/>
      <c r="J134" s="581"/>
      <c r="K134" s="581"/>
      <c r="L134" s="581"/>
      <c r="M134" s="581"/>
      <c r="N134" s="581"/>
      <c r="O134" s="581"/>
      <c r="P134" s="581"/>
      <c r="Q134" s="581"/>
      <c r="R134" s="581"/>
      <c r="S134" s="581"/>
      <c r="T134" s="58"/>
      <c r="U134" s="58"/>
      <c r="V134" s="58"/>
      <c r="W134" s="58"/>
      <c r="X134" s="58"/>
      <c r="Y134" s="58"/>
      <c r="Z134" s="58"/>
      <c r="AA134" s="58"/>
      <c r="AB134" s="59"/>
    </row>
    <row r="135" spans="1:28">
      <c r="A135" s="60" t="s">
        <v>189</v>
      </c>
      <c r="E135" s="58"/>
      <c r="F135" s="581"/>
      <c r="G135" s="581"/>
      <c r="H135" s="581"/>
      <c r="I135" s="581"/>
      <c r="J135" s="581"/>
      <c r="K135" s="581"/>
      <c r="L135" s="581"/>
      <c r="M135" s="581"/>
      <c r="N135" s="581"/>
      <c r="O135" s="581"/>
      <c r="P135" s="581"/>
      <c r="Q135" s="581"/>
      <c r="R135" s="581"/>
      <c r="S135" s="581"/>
      <c r="T135" s="58"/>
      <c r="U135" s="58"/>
      <c r="V135" s="58"/>
      <c r="W135" s="58"/>
      <c r="X135" s="58"/>
      <c r="Y135" s="58"/>
      <c r="Z135" s="58"/>
      <c r="AA135" s="58"/>
      <c r="AB135" s="59"/>
    </row>
    <row r="136" spans="1:28">
      <c r="A136" s="60" t="s">
        <v>190</v>
      </c>
      <c r="E136" s="58"/>
      <c r="F136" s="581"/>
      <c r="G136" s="581"/>
      <c r="H136" s="581"/>
      <c r="I136" s="581"/>
      <c r="J136" s="581"/>
      <c r="K136" s="581"/>
      <c r="L136" s="581"/>
      <c r="M136" s="581"/>
      <c r="N136" s="581"/>
      <c r="O136" s="581"/>
      <c r="P136" s="581"/>
      <c r="Q136" s="581"/>
      <c r="R136" s="581"/>
      <c r="S136" s="581"/>
      <c r="T136" s="58"/>
      <c r="U136" s="58"/>
      <c r="V136" s="58"/>
      <c r="W136" s="58"/>
      <c r="X136" s="58"/>
      <c r="Y136" s="58"/>
      <c r="Z136" s="58"/>
      <c r="AA136" s="58"/>
      <c r="AB136" s="59"/>
    </row>
  </sheetData>
  <mergeCells count="367">
    <mergeCell ref="A1:AB1"/>
    <mergeCell ref="A2:A4"/>
    <mergeCell ref="B2:B4"/>
    <mergeCell ref="C2:C4"/>
    <mergeCell ref="D2:D4"/>
    <mergeCell ref="E2:AB2"/>
    <mergeCell ref="A6:A7"/>
    <mergeCell ref="B6:B7"/>
    <mergeCell ref="C6:C7"/>
    <mergeCell ref="D6:D7"/>
    <mergeCell ref="E6:E7"/>
    <mergeCell ref="T6:T7"/>
    <mergeCell ref="X6:X7"/>
    <mergeCell ref="AB6:AB7"/>
    <mergeCell ref="E3:E4"/>
    <mergeCell ref="T3:T4"/>
    <mergeCell ref="F3:H3"/>
    <mergeCell ref="F6:F7"/>
    <mergeCell ref="G6:G7"/>
    <mergeCell ref="H6:H7"/>
    <mergeCell ref="I3:K3"/>
    <mergeCell ref="L3:N3"/>
    <mergeCell ref="O3:Q3"/>
    <mergeCell ref="Z15:Z16"/>
    <mergeCell ref="AB15:AB16"/>
    <mergeCell ref="A19:A20"/>
    <mergeCell ref="B19:B20"/>
    <mergeCell ref="C19:C20"/>
    <mergeCell ref="D19:D20"/>
    <mergeCell ref="E19:E20"/>
    <mergeCell ref="T19:T20"/>
    <mergeCell ref="X19:X20"/>
    <mergeCell ref="C15:C16"/>
    <mergeCell ref="D15:D16"/>
    <mergeCell ref="E15:E16"/>
    <mergeCell ref="T15:T16"/>
    <mergeCell ref="U15:U16"/>
    <mergeCell ref="V15:V16"/>
    <mergeCell ref="W15:W16"/>
    <mergeCell ref="X15:X16"/>
    <mergeCell ref="Y15:Y16"/>
    <mergeCell ref="AB19:AB20"/>
    <mergeCell ref="AA15:AA16"/>
    <mergeCell ref="A15:A16"/>
    <mergeCell ref="B15:B16"/>
    <mergeCell ref="AB27:AB28"/>
    <mergeCell ref="A24:A26"/>
    <mergeCell ref="B24:B26"/>
    <mergeCell ref="C24:C26"/>
    <mergeCell ref="D24:D26"/>
    <mergeCell ref="E24:E26"/>
    <mergeCell ref="T24:T26"/>
    <mergeCell ref="U24:U26"/>
    <mergeCell ref="V24:V26"/>
    <mergeCell ref="W24:W26"/>
    <mergeCell ref="X24:X26"/>
    <mergeCell ref="Y24:Y26"/>
    <mergeCell ref="AB24:AB26"/>
    <mergeCell ref="Z24:Z26"/>
    <mergeCell ref="AA24:AA26"/>
    <mergeCell ref="E37:E38"/>
    <mergeCell ref="T37:T38"/>
    <mergeCell ref="U37:U38"/>
    <mergeCell ref="V37:V38"/>
    <mergeCell ref="W37:W38"/>
    <mergeCell ref="X37:X38"/>
    <mergeCell ref="A27:A28"/>
    <mergeCell ref="B27:B28"/>
    <mergeCell ref="C27:C28"/>
    <mergeCell ref="D27:D28"/>
    <mergeCell ref="E27:E28"/>
    <mergeCell ref="T27:T28"/>
    <mergeCell ref="X27:X28"/>
    <mergeCell ref="AB29:AB30"/>
    <mergeCell ref="A31:A33"/>
    <mergeCell ref="B31:B33"/>
    <mergeCell ref="C31:C33"/>
    <mergeCell ref="D31:D33"/>
    <mergeCell ref="E31:E33"/>
    <mergeCell ref="T31:T33"/>
    <mergeCell ref="X31:X33"/>
    <mergeCell ref="AB31:AB33"/>
    <mergeCell ref="A29:A30"/>
    <mergeCell ref="B29:B30"/>
    <mergeCell ref="C29:C30"/>
    <mergeCell ref="D29:D30"/>
    <mergeCell ref="E29:E30"/>
    <mergeCell ref="T29:T30"/>
    <mergeCell ref="X29:X30"/>
    <mergeCell ref="X46:X47"/>
    <mergeCell ref="Y46:Y47"/>
    <mergeCell ref="Z46:Z47"/>
    <mergeCell ref="Y37:Y38"/>
    <mergeCell ref="Z37:Z38"/>
    <mergeCell ref="AA37:AA38"/>
    <mergeCell ref="AB37:AB38"/>
    <mergeCell ref="A39:A40"/>
    <mergeCell ref="B39:B40"/>
    <mergeCell ref="C39:C40"/>
    <mergeCell ref="D39:D40"/>
    <mergeCell ref="E39:E40"/>
    <mergeCell ref="T39:T40"/>
    <mergeCell ref="U39:U40"/>
    <mergeCell ref="V39:V40"/>
    <mergeCell ref="W39:W40"/>
    <mergeCell ref="X39:X40"/>
    <mergeCell ref="Y39:Y40"/>
    <mergeCell ref="Z39:Z40"/>
    <mergeCell ref="AA39:AA40"/>
    <mergeCell ref="A37:A38"/>
    <mergeCell ref="B37:B38"/>
    <mergeCell ref="C37:C38"/>
    <mergeCell ref="D37:D38"/>
    <mergeCell ref="AB39:AB40"/>
    <mergeCell ref="A42:A43"/>
    <mergeCell ref="B42:B43"/>
    <mergeCell ref="C42:C43"/>
    <mergeCell ref="D42:D43"/>
    <mergeCell ref="E42:E43"/>
    <mergeCell ref="T42:T43"/>
    <mergeCell ref="U42:U43"/>
    <mergeCell ref="V42:V43"/>
    <mergeCell ref="W42:W43"/>
    <mergeCell ref="X42:X43"/>
    <mergeCell ref="Y42:Y43"/>
    <mergeCell ref="Z42:Z43"/>
    <mergeCell ref="AA42:AA43"/>
    <mergeCell ref="AB42:AB43"/>
    <mergeCell ref="AA46:AA47"/>
    <mergeCell ref="AB46:AB47"/>
    <mergeCell ref="A53:A54"/>
    <mergeCell ref="B53:B54"/>
    <mergeCell ref="C53:C54"/>
    <mergeCell ref="D53:D54"/>
    <mergeCell ref="E53:E54"/>
    <mergeCell ref="T53:T54"/>
    <mergeCell ref="U53:U54"/>
    <mergeCell ref="V53:V54"/>
    <mergeCell ref="W53:W54"/>
    <mergeCell ref="X53:X54"/>
    <mergeCell ref="Y53:Y54"/>
    <mergeCell ref="Z53:Z54"/>
    <mergeCell ref="AA53:AA54"/>
    <mergeCell ref="A46:A47"/>
    <mergeCell ref="B46:B47"/>
    <mergeCell ref="C46:C47"/>
    <mergeCell ref="D46:D47"/>
    <mergeCell ref="E46:E47"/>
    <mergeCell ref="T46:T47"/>
    <mergeCell ref="U46:U47"/>
    <mergeCell ref="V46:V47"/>
    <mergeCell ref="W46:W47"/>
    <mergeCell ref="AB53:AB54"/>
    <mergeCell ref="B57:B58"/>
    <mergeCell ref="C57:C58"/>
    <mergeCell ref="D57:D58"/>
    <mergeCell ref="E57:E58"/>
    <mergeCell ref="T57:T58"/>
    <mergeCell ref="U57:U58"/>
    <mergeCell ref="V57:V58"/>
    <mergeCell ref="W57:W58"/>
    <mergeCell ref="X57:X58"/>
    <mergeCell ref="Y57:Y58"/>
    <mergeCell ref="Z57:Z58"/>
    <mergeCell ref="AA57:AA58"/>
    <mergeCell ref="AB57:AB58"/>
    <mergeCell ref="H57:H58"/>
    <mergeCell ref="G57:G58"/>
    <mergeCell ref="F57:F58"/>
    <mergeCell ref="I57:I58"/>
    <mergeCell ref="J57:J58"/>
    <mergeCell ref="K57:K58"/>
    <mergeCell ref="AB59:AB60"/>
    <mergeCell ref="A61:A62"/>
    <mergeCell ref="B61:B62"/>
    <mergeCell ref="C61:C62"/>
    <mergeCell ref="D61:D62"/>
    <mergeCell ref="E61:E62"/>
    <mergeCell ref="T61:T62"/>
    <mergeCell ref="U61:U62"/>
    <mergeCell ref="V61:V62"/>
    <mergeCell ref="W61:W62"/>
    <mergeCell ref="X61:X62"/>
    <mergeCell ref="Y61:Y62"/>
    <mergeCell ref="Z61:Z62"/>
    <mergeCell ref="AA61:AA62"/>
    <mergeCell ref="A59:A60"/>
    <mergeCell ref="B59:B60"/>
    <mergeCell ref="C59:C60"/>
    <mergeCell ref="D59:D60"/>
    <mergeCell ref="E59:E60"/>
    <mergeCell ref="T59:T60"/>
    <mergeCell ref="U59:U60"/>
    <mergeCell ref="AB61:AB62"/>
    <mergeCell ref="X65:X66"/>
    <mergeCell ref="Y65:Y66"/>
    <mergeCell ref="Z65:Z66"/>
    <mergeCell ref="V59:V60"/>
    <mergeCell ref="W59:W60"/>
    <mergeCell ref="X59:X60"/>
    <mergeCell ref="Y59:Y60"/>
    <mergeCell ref="Z59:Z60"/>
    <mergeCell ref="AA59:AA60"/>
    <mergeCell ref="X63:X64"/>
    <mergeCell ref="Y63:Y64"/>
    <mergeCell ref="Z63:Z64"/>
    <mergeCell ref="AA63:AA64"/>
    <mergeCell ref="W65:W66"/>
    <mergeCell ref="A63:A64"/>
    <mergeCell ref="B63:B64"/>
    <mergeCell ref="C63:C64"/>
    <mergeCell ref="D63:D64"/>
    <mergeCell ref="E63:E64"/>
    <mergeCell ref="T63:T64"/>
    <mergeCell ref="U63:U64"/>
    <mergeCell ref="V63:V64"/>
    <mergeCell ref="W63:W64"/>
    <mergeCell ref="AB63:AB64"/>
    <mergeCell ref="AA65:AA66"/>
    <mergeCell ref="AB65:AB66"/>
    <mergeCell ref="A72:A73"/>
    <mergeCell ref="B72:B74"/>
    <mergeCell ref="C72:C74"/>
    <mergeCell ref="D72:D74"/>
    <mergeCell ref="E72:E74"/>
    <mergeCell ref="T72:T74"/>
    <mergeCell ref="U72:U74"/>
    <mergeCell ref="V72:V74"/>
    <mergeCell ref="W72:W74"/>
    <mergeCell ref="X72:X74"/>
    <mergeCell ref="Y72:Y74"/>
    <mergeCell ref="Z72:Z74"/>
    <mergeCell ref="AA72:AA74"/>
    <mergeCell ref="A65:A66"/>
    <mergeCell ref="B65:B66"/>
    <mergeCell ref="C65:C66"/>
    <mergeCell ref="D65:D66"/>
    <mergeCell ref="E65:E66"/>
    <mergeCell ref="T65:T66"/>
    <mergeCell ref="U65:U66"/>
    <mergeCell ref="V65:V66"/>
    <mergeCell ref="A81:A82"/>
    <mergeCell ref="B81:B82"/>
    <mergeCell ref="C81:C82"/>
    <mergeCell ref="D81:D82"/>
    <mergeCell ref="E81:E82"/>
    <mergeCell ref="T81:T82"/>
    <mergeCell ref="AB72:AB74"/>
    <mergeCell ref="A76:A77"/>
    <mergeCell ref="B76:B77"/>
    <mergeCell ref="C76:C77"/>
    <mergeCell ref="D76:D77"/>
    <mergeCell ref="E76:E77"/>
    <mergeCell ref="T76:T77"/>
    <mergeCell ref="U76:U77"/>
    <mergeCell ref="V76:V77"/>
    <mergeCell ref="W76:W77"/>
    <mergeCell ref="X76:X77"/>
    <mergeCell ref="Y76:Y77"/>
    <mergeCell ref="Z76:Z77"/>
    <mergeCell ref="AA76:AA77"/>
    <mergeCell ref="AB76:AB77"/>
    <mergeCell ref="AA81:AA82"/>
    <mergeCell ref="AB81:AB82"/>
    <mergeCell ref="B83:B84"/>
    <mergeCell ref="C83:C84"/>
    <mergeCell ref="D83:D84"/>
    <mergeCell ref="E83:E84"/>
    <mergeCell ref="T83:T84"/>
    <mergeCell ref="U83:U84"/>
    <mergeCell ref="V83:V84"/>
    <mergeCell ref="W83:W84"/>
    <mergeCell ref="X83:X84"/>
    <mergeCell ref="AA83:AA84"/>
    <mergeCell ref="AB83:AB84"/>
    <mergeCell ref="D85:D86"/>
    <mergeCell ref="E85:E86"/>
    <mergeCell ref="T85:T86"/>
    <mergeCell ref="U81:U82"/>
    <mergeCell ref="V81:V82"/>
    <mergeCell ref="W81:W82"/>
    <mergeCell ref="X81:X82"/>
    <mergeCell ref="Y81:Y82"/>
    <mergeCell ref="Z81:Z82"/>
    <mergeCell ref="U85:U86"/>
    <mergeCell ref="V85:V86"/>
    <mergeCell ref="W85:W86"/>
    <mergeCell ref="X85:X86"/>
    <mergeCell ref="Y85:Y86"/>
    <mergeCell ref="Z85:Z86"/>
    <mergeCell ref="AA85:AA86"/>
    <mergeCell ref="AB85:AB86"/>
    <mergeCell ref="T91:T92"/>
    <mergeCell ref="U91:U92"/>
    <mergeCell ref="V91:V92"/>
    <mergeCell ref="W91:W92"/>
    <mergeCell ref="Y83:Y84"/>
    <mergeCell ref="Z83:Z84"/>
    <mergeCell ref="X91:X92"/>
    <mergeCell ref="Y91:Y92"/>
    <mergeCell ref="Z91:Z92"/>
    <mergeCell ref="AA91:AA92"/>
    <mergeCell ref="A85:A86"/>
    <mergeCell ref="B85:B86"/>
    <mergeCell ref="C85:C86"/>
    <mergeCell ref="AB91:AB92"/>
    <mergeCell ref="A94:A95"/>
    <mergeCell ref="B94:B95"/>
    <mergeCell ref="C94:C95"/>
    <mergeCell ref="D94:D95"/>
    <mergeCell ref="E94:E95"/>
    <mergeCell ref="T94:T95"/>
    <mergeCell ref="U94:U95"/>
    <mergeCell ref="V94:V95"/>
    <mergeCell ref="W94:W95"/>
    <mergeCell ref="X94:X95"/>
    <mergeCell ref="Y94:Y95"/>
    <mergeCell ref="Z94:Z95"/>
    <mergeCell ref="AA94:AA95"/>
    <mergeCell ref="AB94:AB95"/>
    <mergeCell ref="A91:A92"/>
    <mergeCell ref="B91:B92"/>
    <mergeCell ref="C91:C92"/>
    <mergeCell ref="D91:D92"/>
    <mergeCell ref="E91:E92"/>
    <mergeCell ref="AB118:AB119"/>
    <mergeCell ref="AB96:AB97"/>
    <mergeCell ref="A98:A99"/>
    <mergeCell ref="B98:B99"/>
    <mergeCell ref="C98:C99"/>
    <mergeCell ref="D98:D99"/>
    <mergeCell ref="E98:E99"/>
    <mergeCell ref="T98:T99"/>
    <mergeCell ref="X98:X99"/>
    <mergeCell ref="AB98:AB99"/>
    <mergeCell ref="B96:B97"/>
    <mergeCell ref="C96:C97"/>
    <mergeCell ref="D96:D97"/>
    <mergeCell ref="E96:E97"/>
    <mergeCell ref="T96:T97"/>
    <mergeCell ref="U96:U97"/>
    <mergeCell ref="X96:X97"/>
    <mergeCell ref="Y96:Y97"/>
    <mergeCell ref="A57:A58"/>
    <mergeCell ref="A120:A121"/>
    <mergeCell ref="B120:B121"/>
    <mergeCell ref="C120:C121"/>
    <mergeCell ref="D120:D121"/>
    <mergeCell ref="E120:E121"/>
    <mergeCell ref="T120:T121"/>
    <mergeCell ref="X120:X121"/>
    <mergeCell ref="AB120:AB121"/>
    <mergeCell ref="A114:A115"/>
    <mergeCell ref="B114:B115"/>
    <mergeCell ref="C114:C115"/>
    <mergeCell ref="D114:D115"/>
    <mergeCell ref="E114:E115"/>
    <mergeCell ref="T114:T115"/>
    <mergeCell ref="X114:X115"/>
    <mergeCell ref="AB114:AB115"/>
    <mergeCell ref="A118:A119"/>
    <mergeCell ref="B118:B119"/>
    <mergeCell ref="C118:C119"/>
    <mergeCell ref="D118:D119"/>
    <mergeCell ref="E118:E119"/>
    <mergeCell ref="T118:T119"/>
    <mergeCell ref="X118:X119"/>
  </mergeCells>
  <hyperlinks>
    <hyperlink ref="C2" location="_edn3" display="Код по бюджетной классификации Российской Федерации"/>
    <hyperlink ref="D2" location="_edn4" display="Аналитический код"/>
    <hyperlink ref="A6" location="_edn5" display="Остаток средств на начало текущего финансового года"/>
    <hyperlink ref="A31" location="_edn1" display="прочие поступления, всего"/>
    <hyperlink ref="A94" location="_edn1" display="расходы на закупку товаров, работ, услуг, всего"/>
    <hyperlink ref="A114" location="_edn2" display="Выплаты, уменьшающие доход, всего"/>
    <hyperlink ref="A122" location="_edn3" display="Прочие выплаты, всего"/>
    <hyperlink ref="A127" location="_ednref1" display="[i] В сучае утверждения решения о бюджете на текущий финансовый год и плановый период."/>
    <hyperlink ref="A128" location="_ednref2" display="[ii] Указывается дата подписания  Плана, а в случае утверждения Плана уполномоченным лицом учреждения-дата утверждения Плана."/>
    <hyperlink ref="A129" location="_ednref3" display="[iii] В графе 3 отражаются:"/>
    <hyperlink ref="A135"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6"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0.70866141732283472" right="0.70866141732283472" top="0.74803149606299213" bottom="0.74803149606299213" header="0.31496062992125984" footer="0.31496062992125984"/>
  <pageSetup paperSize="9" scale="52" fitToHeight="2" orientation="portrait" horizontalDpi="4294967295" verticalDpi="4294967295" r:id="rId1"/>
  <rowBreaks count="1" manualBreakCount="1">
    <brk id="75"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pageSetUpPr fitToPage="1"/>
  </sheetPr>
  <dimension ref="A1:I77"/>
  <sheetViews>
    <sheetView topLeftCell="A25" workbookViewId="0">
      <selection activeCell="F53" sqref="F53"/>
    </sheetView>
  </sheetViews>
  <sheetFormatPr defaultRowHeight="10.15" customHeight="1"/>
  <cols>
    <col min="1" max="1" width="64.85546875" style="28" bestFit="1" customWidth="1"/>
    <col min="2" max="2" width="8.7109375" style="28" bestFit="1" customWidth="1"/>
    <col min="3" max="3" width="11.7109375" style="28" bestFit="1" customWidth="1"/>
    <col min="4" max="4" width="7.140625" style="28" bestFit="1" customWidth="1"/>
    <col min="5" max="5" width="10.7109375" style="28" bestFit="1" customWidth="1"/>
    <col min="6" max="6" width="14.42578125" style="28" bestFit="1" customWidth="1"/>
    <col min="7" max="7" width="16" style="28" bestFit="1" customWidth="1"/>
    <col min="8" max="8" width="14.5703125" style="28" bestFit="1" customWidth="1"/>
    <col min="9" max="9" width="12.7109375" style="28" bestFit="1" customWidth="1"/>
    <col min="10" max="15" width="8" style="28" bestFit="1" customWidth="1"/>
    <col min="16" max="16" width="9.140625" style="28" bestFit="1"/>
    <col min="17" max="16384" width="9.140625" style="28"/>
  </cols>
  <sheetData>
    <row r="1" spans="1:9" ht="15" hidden="1">
      <c r="F1" s="770" t="s">
        <v>191</v>
      </c>
      <c r="G1" s="770"/>
      <c r="H1" s="770"/>
      <c r="I1" s="770"/>
    </row>
    <row r="2" spans="1:9" ht="22.5" hidden="1" customHeight="1">
      <c r="F2" s="771" t="s">
        <v>192</v>
      </c>
      <c r="G2" s="771"/>
      <c r="H2" s="771"/>
      <c r="I2" s="771"/>
    </row>
    <row r="3" spans="1:9" ht="15" hidden="1"/>
    <row r="4" spans="1:9" ht="15" hidden="1"/>
    <row r="5" spans="1:9" ht="15" hidden="1">
      <c r="H5" s="772" t="s">
        <v>193</v>
      </c>
      <c r="I5" s="772"/>
    </row>
    <row r="6" spans="1:9" ht="15" hidden="1">
      <c r="H6" s="773"/>
      <c r="I6" s="773"/>
    </row>
    <row r="7" spans="1:9" ht="22.5" hidden="1" customHeight="1">
      <c r="H7" s="767" t="s">
        <v>194</v>
      </c>
      <c r="I7" s="767"/>
    </row>
    <row r="8" spans="1:9" ht="15" hidden="1">
      <c r="H8" s="766" t="s">
        <v>195</v>
      </c>
      <c r="I8" s="766"/>
    </row>
    <row r="9" spans="1:9" ht="15" hidden="1">
      <c r="H9" s="767" t="s">
        <v>196</v>
      </c>
      <c r="I9" s="767"/>
    </row>
    <row r="10" spans="1:9" ht="22.5" hidden="1" customHeight="1">
      <c r="H10" s="768" t="s">
        <v>197</v>
      </c>
      <c r="I10" s="768"/>
    </row>
    <row r="11" spans="1:9" ht="15" hidden="1">
      <c r="H11" s="62" t="s">
        <v>198</v>
      </c>
      <c r="I11" s="63" t="s">
        <v>199</v>
      </c>
    </row>
    <row r="12" spans="1:9" ht="15" hidden="1">
      <c r="H12" s="769" t="s">
        <v>200</v>
      </c>
      <c r="I12" s="769"/>
    </row>
    <row r="13" spans="1:9" ht="15" hidden="1"/>
    <row r="14" spans="1:9" ht="22.5" hidden="1" customHeight="1">
      <c r="A14" s="761" t="s">
        <v>201</v>
      </c>
      <c r="B14" s="761"/>
      <c r="C14" s="761"/>
      <c r="D14" s="761"/>
      <c r="E14" s="761"/>
      <c r="F14" s="761"/>
      <c r="G14" s="761"/>
      <c r="H14" s="761"/>
      <c r="I14" s="64"/>
    </row>
    <row r="15" spans="1:9" ht="22.5" hidden="1" customHeight="1">
      <c r="A15" s="761" t="s">
        <v>202</v>
      </c>
      <c r="B15" s="761"/>
      <c r="C15" s="761"/>
      <c r="D15" s="761"/>
      <c r="E15" s="761"/>
      <c r="F15" s="761"/>
      <c r="G15" s="761"/>
      <c r="H15" s="761"/>
      <c r="I15" s="762" t="s">
        <v>203</v>
      </c>
    </row>
    <row r="16" spans="1:9" ht="15" hidden="1">
      <c r="I16" s="763"/>
    </row>
    <row r="17" spans="1:9" ht="22.5" hidden="1" customHeight="1">
      <c r="B17" s="764" t="s">
        <v>204</v>
      </c>
      <c r="C17" s="764"/>
      <c r="D17" s="764"/>
      <c r="H17" s="65" t="s">
        <v>205</v>
      </c>
      <c r="I17" s="66" t="s">
        <v>206</v>
      </c>
    </row>
    <row r="18" spans="1:9" ht="22.5" hidden="1" customHeight="1">
      <c r="A18" s="67" t="s">
        <v>207</v>
      </c>
      <c r="H18" s="65" t="s">
        <v>208</v>
      </c>
      <c r="I18" s="68" t="s">
        <v>209</v>
      </c>
    </row>
    <row r="19" spans="1:9" ht="22.5" hidden="1" customHeight="1">
      <c r="A19" s="67" t="s">
        <v>4</v>
      </c>
      <c r="B19" s="765" t="s">
        <v>195</v>
      </c>
      <c r="C19" s="765"/>
      <c r="D19" s="765"/>
      <c r="E19" s="765"/>
      <c r="F19" s="765"/>
      <c r="H19" s="65" t="s">
        <v>210</v>
      </c>
      <c r="I19" s="68" t="s">
        <v>211</v>
      </c>
    </row>
    <row r="20" spans="1:9" ht="22.5" hidden="1" customHeight="1">
      <c r="H20" s="65" t="s">
        <v>208</v>
      </c>
      <c r="I20" s="68" t="s">
        <v>212</v>
      </c>
    </row>
    <row r="21" spans="1:9" ht="22.5" hidden="1" customHeight="1">
      <c r="H21" s="65" t="s">
        <v>213</v>
      </c>
      <c r="I21" s="68" t="s">
        <v>214</v>
      </c>
    </row>
    <row r="22" spans="1:9" ht="22.5" hidden="1" customHeight="1">
      <c r="A22" s="67" t="s">
        <v>5</v>
      </c>
      <c r="B22" s="765" t="s">
        <v>215</v>
      </c>
      <c r="C22" s="765"/>
      <c r="D22" s="765"/>
      <c r="E22" s="765"/>
      <c r="F22" s="765"/>
      <c r="H22" s="65" t="s">
        <v>216</v>
      </c>
      <c r="I22" s="68" t="s">
        <v>217</v>
      </c>
    </row>
    <row r="23" spans="1:9" ht="22.5" hidden="1" customHeight="1">
      <c r="A23" s="67" t="s">
        <v>218</v>
      </c>
      <c r="H23" s="65" t="s">
        <v>219</v>
      </c>
      <c r="I23" s="69" t="s">
        <v>220</v>
      </c>
    </row>
    <row r="24" spans="1:9" ht="15" hidden="1"/>
    <row r="25" spans="1:9" ht="18.75">
      <c r="A25" s="758" t="s">
        <v>9</v>
      </c>
      <c r="B25" s="758"/>
      <c r="C25" s="758"/>
      <c r="D25" s="758"/>
      <c r="E25" s="758"/>
      <c r="F25" s="758"/>
      <c r="G25" s="758"/>
      <c r="H25" s="758"/>
      <c r="I25" s="758"/>
    </row>
    <row r="26" spans="1:9" ht="15"/>
    <row r="27" spans="1:9" ht="18.75" customHeight="1">
      <c r="A27" s="759" t="s">
        <v>10</v>
      </c>
      <c r="B27" s="760" t="s">
        <v>11</v>
      </c>
      <c r="C27" s="760" t="s">
        <v>12</v>
      </c>
      <c r="D27" s="760" t="s">
        <v>13</v>
      </c>
      <c r="E27" s="760" t="s">
        <v>221</v>
      </c>
      <c r="F27" s="759" t="s">
        <v>14</v>
      </c>
      <c r="G27" s="759"/>
      <c r="H27" s="759"/>
      <c r="I27" s="759"/>
    </row>
    <row r="28" spans="1:9" ht="18.75" customHeight="1">
      <c r="A28" s="759"/>
      <c r="B28" s="760"/>
      <c r="C28" s="760"/>
      <c r="D28" s="760"/>
      <c r="E28" s="760"/>
      <c r="F28" s="70" t="s">
        <v>15</v>
      </c>
      <c r="G28" s="70" t="s">
        <v>16</v>
      </c>
      <c r="H28" s="70" t="s">
        <v>17</v>
      </c>
      <c r="I28" s="760" t="s">
        <v>18</v>
      </c>
    </row>
    <row r="29" spans="1:9" ht="36.75" customHeight="1">
      <c r="A29" s="759"/>
      <c r="B29" s="760"/>
      <c r="C29" s="760"/>
      <c r="D29" s="760"/>
      <c r="E29" s="760"/>
      <c r="F29" s="71" t="s">
        <v>19</v>
      </c>
      <c r="G29" s="71" t="s">
        <v>20</v>
      </c>
      <c r="H29" s="71" t="s">
        <v>21</v>
      </c>
      <c r="I29" s="760"/>
    </row>
    <row r="30" spans="1:9" ht="18.75" customHeight="1">
      <c r="A30" s="72" t="s">
        <v>22</v>
      </c>
      <c r="B30" s="72" t="s">
        <v>23</v>
      </c>
      <c r="C30" s="72" t="s">
        <v>24</v>
      </c>
      <c r="D30" s="72" t="s">
        <v>25</v>
      </c>
      <c r="E30" s="72" t="s">
        <v>26</v>
      </c>
      <c r="F30" s="72" t="s">
        <v>27</v>
      </c>
      <c r="G30" s="72" t="s">
        <v>28</v>
      </c>
      <c r="H30" s="72" t="s">
        <v>29</v>
      </c>
      <c r="I30" s="72" t="s">
        <v>222</v>
      </c>
    </row>
    <row r="31" spans="1:9" ht="18.75" customHeight="1">
      <c r="A31" s="33" t="s">
        <v>30</v>
      </c>
      <c r="B31" s="34" t="s">
        <v>31</v>
      </c>
      <c r="C31" s="34" t="s">
        <v>32</v>
      </c>
      <c r="D31" s="34" t="s">
        <v>32</v>
      </c>
      <c r="E31" s="34" t="s">
        <v>32</v>
      </c>
      <c r="F31" s="35">
        <v>1168536.1599999999</v>
      </c>
      <c r="G31" s="35">
        <v>0</v>
      </c>
      <c r="H31" s="35">
        <v>0</v>
      </c>
      <c r="I31" s="35"/>
    </row>
    <row r="32" spans="1:9" ht="18.75" customHeight="1">
      <c r="A32" s="33" t="s">
        <v>33</v>
      </c>
      <c r="B32" s="34" t="s">
        <v>34</v>
      </c>
      <c r="C32" s="34" t="s">
        <v>32</v>
      </c>
      <c r="D32" s="34" t="s">
        <v>32</v>
      </c>
      <c r="E32" s="34" t="s">
        <v>32</v>
      </c>
      <c r="F32" s="35">
        <v>0</v>
      </c>
      <c r="G32" s="35">
        <v>0</v>
      </c>
      <c r="H32" s="35">
        <v>0</v>
      </c>
      <c r="I32" s="35"/>
    </row>
    <row r="33" spans="1:9" ht="18.75" customHeight="1">
      <c r="A33" s="36" t="s">
        <v>35</v>
      </c>
      <c r="B33" s="37" t="s">
        <v>36</v>
      </c>
      <c r="C33" s="37" t="s">
        <v>37</v>
      </c>
      <c r="D33" s="38" t="s">
        <v>223</v>
      </c>
      <c r="E33" s="38" t="s">
        <v>37</v>
      </c>
      <c r="F33" s="35">
        <v>77736104.120000005</v>
      </c>
      <c r="G33" s="35">
        <v>59214283.899999999</v>
      </c>
      <c r="H33" s="35">
        <v>59344802.270000003</v>
      </c>
      <c r="I33" s="35">
        <v>0</v>
      </c>
    </row>
    <row r="34" spans="1:9" ht="18.75" customHeight="1">
      <c r="A34" s="39" t="s">
        <v>38</v>
      </c>
      <c r="B34" s="34" t="s">
        <v>39</v>
      </c>
      <c r="C34" s="34" t="s">
        <v>40</v>
      </c>
      <c r="D34" s="38" t="s">
        <v>223</v>
      </c>
      <c r="E34" s="38" t="s">
        <v>37</v>
      </c>
      <c r="F34" s="35">
        <v>76807010.780000001</v>
      </c>
      <c r="G34" s="35">
        <v>59209483.899999999</v>
      </c>
      <c r="H34" s="35">
        <v>59337602.270000003</v>
      </c>
      <c r="I34" s="35">
        <v>0</v>
      </c>
    </row>
    <row r="35" spans="1:9" ht="18.75" customHeight="1">
      <c r="A35" s="40" t="s">
        <v>41</v>
      </c>
      <c r="B35" s="34"/>
      <c r="C35" s="34"/>
      <c r="D35" s="38"/>
      <c r="E35" s="38"/>
      <c r="F35" s="35"/>
      <c r="G35" s="35"/>
      <c r="H35" s="35"/>
      <c r="I35" s="35"/>
    </row>
    <row r="36" spans="1:9" ht="37.5" customHeight="1">
      <c r="A36" s="40" t="s">
        <v>42</v>
      </c>
      <c r="B36" s="34" t="s">
        <v>43</v>
      </c>
      <c r="C36" s="34" t="s">
        <v>40</v>
      </c>
      <c r="D36" s="38" t="s">
        <v>223</v>
      </c>
      <c r="E36" s="38" t="s">
        <v>37</v>
      </c>
      <c r="F36" s="35">
        <v>64105760.780000001</v>
      </c>
      <c r="G36" s="35">
        <v>46508233.899999999</v>
      </c>
      <c r="H36" s="35">
        <v>46636352.270000003</v>
      </c>
      <c r="I36" s="35">
        <v>0</v>
      </c>
    </row>
    <row r="37" spans="1:9" ht="18.75" customHeight="1">
      <c r="A37" s="41" t="s">
        <v>44</v>
      </c>
      <c r="B37" s="38" t="s">
        <v>45</v>
      </c>
      <c r="C37" s="38" t="s">
        <v>40</v>
      </c>
      <c r="D37" s="38" t="s">
        <v>223</v>
      </c>
      <c r="E37" s="38" t="s">
        <v>37</v>
      </c>
      <c r="F37" s="42">
        <v>12701250</v>
      </c>
      <c r="G37" s="42">
        <v>12701250</v>
      </c>
      <c r="H37" s="42">
        <v>12701250</v>
      </c>
      <c r="I37" s="35">
        <v>0</v>
      </c>
    </row>
    <row r="38" spans="1:9" ht="18.75" customHeight="1">
      <c r="A38" s="41" t="s">
        <v>46</v>
      </c>
      <c r="B38" s="38" t="s">
        <v>47</v>
      </c>
      <c r="C38" s="38" t="s">
        <v>48</v>
      </c>
      <c r="D38" s="38" t="s">
        <v>223</v>
      </c>
      <c r="E38" s="38" t="s">
        <v>37</v>
      </c>
      <c r="F38" s="42">
        <v>904550.59</v>
      </c>
      <c r="G38" s="42">
        <v>4800</v>
      </c>
      <c r="H38" s="42">
        <v>7200</v>
      </c>
      <c r="I38" s="35">
        <v>0</v>
      </c>
    </row>
    <row r="39" spans="1:9" ht="18.75" customHeight="1">
      <c r="A39" s="41" t="s">
        <v>49</v>
      </c>
      <c r="B39" s="38" t="s">
        <v>50</v>
      </c>
      <c r="C39" s="38" t="s">
        <v>48</v>
      </c>
      <c r="D39" s="38" t="s">
        <v>223</v>
      </c>
      <c r="E39" s="38" t="s">
        <v>37</v>
      </c>
      <c r="F39" s="42">
        <v>904550.59</v>
      </c>
      <c r="G39" s="42">
        <v>4800</v>
      </c>
      <c r="H39" s="42">
        <v>7200</v>
      </c>
      <c r="I39" s="35">
        <v>0</v>
      </c>
    </row>
    <row r="40" spans="1:9" ht="18.75" customHeight="1">
      <c r="A40" s="41" t="s">
        <v>51</v>
      </c>
      <c r="B40" s="38" t="s">
        <v>52</v>
      </c>
      <c r="C40" s="38" t="s">
        <v>37</v>
      </c>
      <c r="D40" s="38" t="s">
        <v>223</v>
      </c>
      <c r="E40" s="38" t="s">
        <v>37</v>
      </c>
      <c r="F40" s="42">
        <v>24542.75</v>
      </c>
      <c r="G40" s="42">
        <v>0</v>
      </c>
      <c r="H40" s="42">
        <v>0</v>
      </c>
      <c r="I40" s="35">
        <v>0</v>
      </c>
    </row>
    <row r="41" spans="1:9" ht="18.75" customHeight="1">
      <c r="A41" s="41" t="s">
        <v>53</v>
      </c>
      <c r="B41" s="38" t="s">
        <v>54</v>
      </c>
      <c r="C41" s="38" t="s">
        <v>37</v>
      </c>
      <c r="D41" s="38" t="s">
        <v>223</v>
      </c>
      <c r="E41" s="38" t="s">
        <v>37</v>
      </c>
      <c r="F41" s="42">
        <v>24542.75</v>
      </c>
      <c r="G41" s="42">
        <v>0</v>
      </c>
      <c r="H41" s="42">
        <v>0</v>
      </c>
      <c r="I41" s="35">
        <v>0</v>
      </c>
    </row>
    <row r="42" spans="1:9" ht="35.25" customHeight="1">
      <c r="A42" s="41" t="s">
        <v>55</v>
      </c>
      <c r="B42" s="38" t="s">
        <v>56</v>
      </c>
      <c r="C42" s="38" t="s">
        <v>57</v>
      </c>
      <c r="D42" s="38" t="s">
        <v>223</v>
      </c>
      <c r="E42" s="38" t="s">
        <v>37</v>
      </c>
      <c r="F42" s="42">
        <v>24542.75</v>
      </c>
      <c r="G42" s="42">
        <v>0</v>
      </c>
      <c r="H42" s="42">
        <v>0</v>
      </c>
      <c r="I42" s="35">
        <v>0</v>
      </c>
    </row>
    <row r="43" spans="1:9" ht="18.75" customHeight="1">
      <c r="A43" s="36" t="s">
        <v>58</v>
      </c>
      <c r="B43" s="37" t="s">
        <v>59</v>
      </c>
      <c r="C43" s="37" t="s">
        <v>37</v>
      </c>
      <c r="D43" s="38" t="s">
        <v>223</v>
      </c>
      <c r="E43" s="38" t="s">
        <v>37</v>
      </c>
      <c r="F43" s="35">
        <v>78904640.280000001</v>
      </c>
      <c r="G43" s="35">
        <v>59214283.899999999</v>
      </c>
      <c r="H43" s="35">
        <v>59344802.270000003</v>
      </c>
      <c r="I43" s="35">
        <v>0</v>
      </c>
    </row>
    <row r="44" spans="1:9" ht="18.75" customHeight="1">
      <c r="A44" s="41" t="s">
        <v>60</v>
      </c>
      <c r="B44" s="38" t="s">
        <v>61</v>
      </c>
      <c r="C44" s="38" t="s">
        <v>37</v>
      </c>
      <c r="D44" s="38" t="s">
        <v>223</v>
      </c>
      <c r="E44" s="38" t="s">
        <v>37</v>
      </c>
      <c r="F44" s="42">
        <v>51936337.07</v>
      </c>
      <c r="G44" s="42">
        <v>44092918.710000001</v>
      </c>
      <c r="H44" s="42">
        <v>44354159.509999998</v>
      </c>
      <c r="I44" s="35">
        <v>0</v>
      </c>
    </row>
    <row r="45" spans="1:9" ht="18.75" customHeight="1">
      <c r="A45" s="41" t="s">
        <v>62</v>
      </c>
      <c r="B45" s="38" t="s">
        <v>63</v>
      </c>
      <c r="C45" s="38" t="s">
        <v>64</v>
      </c>
      <c r="D45" s="38" t="s">
        <v>223</v>
      </c>
      <c r="E45" s="38" t="s">
        <v>37</v>
      </c>
      <c r="F45" s="42">
        <v>38302511.920000002</v>
      </c>
      <c r="G45" s="42">
        <v>32368116.829999998</v>
      </c>
      <c r="H45" s="42">
        <v>32468524.530000001</v>
      </c>
      <c r="I45" s="35">
        <v>0</v>
      </c>
    </row>
    <row r="46" spans="1:9" ht="18.75" customHeight="1">
      <c r="A46" s="41" t="s">
        <v>65</v>
      </c>
      <c r="B46" s="38" t="s">
        <v>66</v>
      </c>
      <c r="C46" s="38" t="s">
        <v>64</v>
      </c>
      <c r="D46" s="38" t="s">
        <v>223</v>
      </c>
      <c r="E46" s="38" t="s">
        <v>67</v>
      </c>
      <c r="F46" s="42">
        <v>38214911.920000002</v>
      </c>
      <c r="G46" s="42">
        <v>32328516.829999998</v>
      </c>
      <c r="H46" s="42">
        <v>32428924.530000001</v>
      </c>
      <c r="I46" s="35">
        <v>0</v>
      </c>
    </row>
    <row r="47" spans="1:9" ht="18.75" customHeight="1">
      <c r="A47" s="41" t="s">
        <v>65</v>
      </c>
      <c r="B47" s="38" t="s">
        <v>68</v>
      </c>
      <c r="C47" s="38" t="s">
        <v>64</v>
      </c>
      <c r="D47" s="38" t="s">
        <v>223</v>
      </c>
      <c r="E47" s="38" t="s">
        <v>69</v>
      </c>
      <c r="F47" s="42">
        <v>87600</v>
      </c>
      <c r="G47" s="42">
        <v>39600</v>
      </c>
      <c r="H47" s="42">
        <v>39600</v>
      </c>
      <c r="I47" s="35">
        <v>0</v>
      </c>
    </row>
    <row r="48" spans="1:9" ht="33.75" customHeight="1">
      <c r="A48" s="41" t="s">
        <v>70</v>
      </c>
      <c r="B48" s="38" t="s">
        <v>71</v>
      </c>
      <c r="C48" s="38" t="s">
        <v>72</v>
      </c>
      <c r="D48" s="38" t="s">
        <v>223</v>
      </c>
      <c r="E48" s="38" t="s">
        <v>37</v>
      </c>
      <c r="F48" s="42">
        <v>2155061</v>
      </c>
      <c r="G48" s="42">
        <v>2097795.75</v>
      </c>
      <c r="H48" s="42">
        <v>2217850.75</v>
      </c>
      <c r="I48" s="35">
        <v>0</v>
      </c>
    </row>
    <row r="49" spans="1:9" ht="27.75" customHeight="1">
      <c r="A49" s="41" t="s">
        <v>73</v>
      </c>
      <c r="B49" s="38" t="s">
        <v>74</v>
      </c>
      <c r="C49" s="38" t="s">
        <v>72</v>
      </c>
      <c r="D49" s="38" t="s">
        <v>223</v>
      </c>
      <c r="E49" s="38" t="s">
        <v>76</v>
      </c>
      <c r="F49" s="42">
        <v>1100000</v>
      </c>
      <c r="G49" s="42">
        <v>980000</v>
      </c>
      <c r="H49" s="42">
        <v>1100000</v>
      </c>
      <c r="I49" s="35">
        <v>0</v>
      </c>
    </row>
    <row r="50" spans="1:9" ht="31.5" customHeight="1">
      <c r="A50" s="41" t="s">
        <v>73</v>
      </c>
      <c r="B50" s="38" t="s">
        <v>74</v>
      </c>
      <c r="C50" s="38" t="s">
        <v>72</v>
      </c>
      <c r="D50" s="38" t="s">
        <v>223</v>
      </c>
      <c r="E50" s="38" t="s">
        <v>75</v>
      </c>
      <c r="F50" s="42">
        <v>238500</v>
      </c>
      <c r="G50" s="42">
        <v>243000</v>
      </c>
      <c r="H50" s="42">
        <v>243000</v>
      </c>
      <c r="I50" s="35">
        <v>0</v>
      </c>
    </row>
    <row r="51" spans="1:9" ht="18.75" customHeight="1">
      <c r="A51" s="41" t="s">
        <v>73</v>
      </c>
      <c r="B51" s="38" t="s">
        <v>74</v>
      </c>
      <c r="C51" s="38" t="s">
        <v>72</v>
      </c>
      <c r="D51" s="38" t="s">
        <v>223</v>
      </c>
      <c r="E51" s="38" t="s">
        <v>77</v>
      </c>
      <c r="F51" s="42">
        <v>760321</v>
      </c>
      <c r="G51" s="42">
        <v>764478</v>
      </c>
      <c r="H51" s="42">
        <v>764478</v>
      </c>
      <c r="I51" s="35">
        <v>0</v>
      </c>
    </row>
    <row r="52" spans="1:9" ht="18.75" customHeight="1">
      <c r="A52" s="41" t="s">
        <v>73</v>
      </c>
      <c r="B52" s="38" t="s">
        <v>74</v>
      </c>
      <c r="C52" s="38" t="s">
        <v>72</v>
      </c>
      <c r="D52" s="38" t="s">
        <v>223</v>
      </c>
      <c r="E52" s="38" t="s">
        <v>69</v>
      </c>
      <c r="F52" s="42">
        <v>56240</v>
      </c>
      <c r="G52" s="42">
        <v>110317.75</v>
      </c>
      <c r="H52" s="42">
        <v>110372.75</v>
      </c>
      <c r="I52" s="35">
        <v>0</v>
      </c>
    </row>
    <row r="53" spans="1:9" ht="30" customHeight="1">
      <c r="A53" s="41" t="s">
        <v>78</v>
      </c>
      <c r="B53" s="38" t="s">
        <v>79</v>
      </c>
      <c r="C53" s="38" t="s">
        <v>80</v>
      </c>
      <c r="D53" s="38" t="s">
        <v>223</v>
      </c>
      <c r="E53" s="38" t="s">
        <v>37</v>
      </c>
      <c r="F53" s="42">
        <v>11478764.15</v>
      </c>
      <c r="G53" s="42">
        <v>9627006.1300000008</v>
      </c>
      <c r="H53" s="42">
        <v>9667784.2300000004</v>
      </c>
      <c r="I53" s="35">
        <v>0</v>
      </c>
    </row>
    <row r="54" spans="1:9" ht="18.75" customHeight="1">
      <c r="A54" s="41" t="s">
        <v>81</v>
      </c>
      <c r="B54" s="38" t="s">
        <v>82</v>
      </c>
      <c r="C54" s="38" t="s">
        <v>80</v>
      </c>
      <c r="D54" s="38" t="s">
        <v>223</v>
      </c>
      <c r="E54" s="38" t="s">
        <v>83</v>
      </c>
      <c r="F54" s="42">
        <v>11447525.27</v>
      </c>
      <c r="G54" s="42">
        <v>9598642.9700000007</v>
      </c>
      <c r="H54" s="42">
        <v>9639472.4100000001</v>
      </c>
      <c r="I54" s="35">
        <v>0</v>
      </c>
    </row>
    <row r="55" spans="1:9" ht="18.75" customHeight="1">
      <c r="A55" s="41" t="s">
        <v>81</v>
      </c>
      <c r="B55" s="38" t="s">
        <v>82</v>
      </c>
      <c r="C55" s="38" t="s">
        <v>80</v>
      </c>
      <c r="D55" s="38" t="s">
        <v>223</v>
      </c>
      <c r="E55" s="38" t="s">
        <v>69</v>
      </c>
      <c r="F55" s="42">
        <v>31238.880000000001</v>
      </c>
      <c r="G55" s="42">
        <v>28363.16</v>
      </c>
      <c r="H55" s="42">
        <v>28311.82</v>
      </c>
      <c r="I55" s="35">
        <v>0</v>
      </c>
    </row>
    <row r="56" spans="1:9" ht="18.75" customHeight="1">
      <c r="A56" s="41" t="s">
        <v>84</v>
      </c>
      <c r="B56" s="38" t="s">
        <v>85</v>
      </c>
      <c r="C56" s="38" t="s">
        <v>86</v>
      </c>
      <c r="D56" s="38" t="s">
        <v>223</v>
      </c>
      <c r="E56" s="38" t="s">
        <v>37</v>
      </c>
      <c r="F56" s="42">
        <v>1306992.98</v>
      </c>
      <c r="G56" s="42">
        <v>2115945.37</v>
      </c>
      <c r="H56" s="42">
        <v>2060127.61</v>
      </c>
      <c r="I56" s="35">
        <v>0</v>
      </c>
    </row>
    <row r="57" spans="1:9" ht="18.75" customHeight="1">
      <c r="A57" s="41" t="s">
        <v>87</v>
      </c>
      <c r="B57" s="38" t="s">
        <v>88</v>
      </c>
      <c r="C57" s="38" t="s">
        <v>89</v>
      </c>
      <c r="D57" s="38" t="s">
        <v>223</v>
      </c>
      <c r="E57" s="38" t="s">
        <v>90</v>
      </c>
      <c r="F57" s="42">
        <v>1223455</v>
      </c>
      <c r="G57" s="42">
        <v>2031292</v>
      </c>
      <c r="H57" s="42">
        <v>1975232.25</v>
      </c>
      <c r="I57" s="35">
        <v>0</v>
      </c>
    </row>
    <row r="58" spans="1:9" ht="18.75" customHeight="1">
      <c r="A58" s="41" t="s">
        <v>91</v>
      </c>
      <c r="B58" s="38" t="s">
        <v>92</v>
      </c>
      <c r="C58" s="38" t="s">
        <v>93</v>
      </c>
      <c r="D58" s="38" t="s">
        <v>223</v>
      </c>
      <c r="E58" s="38" t="s">
        <v>94</v>
      </c>
      <c r="F58" s="42">
        <v>63836.98</v>
      </c>
      <c r="G58" s="42">
        <v>64952.37</v>
      </c>
      <c r="H58" s="42">
        <v>65194.36</v>
      </c>
      <c r="I58" s="35">
        <v>0</v>
      </c>
    </row>
    <row r="59" spans="1:9" ht="18.75" customHeight="1">
      <c r="A59" s="41" t="s">
        <v>91</v>
      </c>
      <c r="B59" s="38" t="s">
        <v>92</v>
      </c>
      <c r="C59" s="38" t="s">
        <v>93</v>
      </c>
      <c r="D59" s="38" t="s">
        <v>223</v>
      </c>
      <c r="E59" s="38" t="s">
        <v>90</v>
      </c>
      <c r="F59" s="42">
        <v>19701</v>
      </c>
      <c r="G59" s="42">
        <v>19701</v>
      </c>
      <c r="H59" s="42">
        <v>19701</v>
      </c>
      <c r="I59" s="35">
        <v>0</v>
      </c>
    </row>
    <row r="60" spans="1:9" ht="18.75" customHeight="1">
      <c r="A60" s="41" t="s">
        <v>95</v>
      </c>
      <c r="B60" s="38" t="s">
        <v>96</v>
      </c>
      <c r="C60" s="38" t="s">
        <v>37</v>
      </c>
      <c r="D60" s="38" t="s">
        <v>223</v>
      </c>
      <c r="E60" s="38" t="s">
        <v>37</v>
      </c>
      <c r="F60" s="42">
        <v>25661310.23</v>
      </c>
      <c r="G60" s="42">
        <v>13005419.82</v>
      </c>
      <c r="H60" s="42">
        <v>12930515.15</v>
      </c>
      <c r="I60" s="35">
        <v>0</v>
      </c>
    </row>
    <row r="61" spans="1:9" ht="18.75" customHeight="1">
      <c r="A61" s="41" t="s">
        <v>97</v>
      </c>
      <c r="B61" s="38" t="s">
        <v>98</v>
      </c>
      <c r="C61" s="38" t="s">
        <v>99</v>
      </c>
      <c r="D61" s="38" t="s">
        <v>223</v>
      </c>
      <c r="E61" s="38" t="s">
        <v>37</v>
      </c>
      <c r="F61" s="42">
        <v>25661310.23</v>
      </c>
      <c r="G61" s="42">
        <v>13005419.82</v>
      </c>
      <c r="H61" s="42">
        <v>12930515.15</v>
      </c>
      <c r="I61" s="35">
        <v>0</v>
      </c>
    </row>
    <row r="62" spans="1:9" ht="18.75" customHeight="1">
      <c r="A62" s="41" t="s">
        <v>224</v>
      </c>
      <c r="B62" s="38" t="s">
        <v>101</v>
      </c>
      <c r="C62" s="38" t="s">
        <v>99</v>
      </c>
      <c r="D62" s="38" t="s">
        <v>223</v>
      </c>
      <c r="E62" s="38" t="s">
        <v>225</v>
      </c>
      <c r="F62" s="42">
        <v>8815770</v>
      </c>
      <c r="G62" s="42">
        <v>0</v>
      </c>
      <c r="H62" s="42">
        <v>0</v>
      </c>
      <c r="I62" s="35">
        <v>0</v>
      </c>
    </row>
    <row r="63" spans="1:9" ht="18.75" customHeight="1">
      <c r="A63" s="41" t="s">
        <v>106</v>
      </c>
      <c r="B63" s="38" t="s">
        <v>101</v>
      </c>
      <c r="C63" s="38" t="s">
        <v>99</v>
      </c>
      <c r="D63" s="38" t="s">
        <v>223</v>
      </c>
      <c r="E63" s="38" t="s">
        <v>107</v>
      </c>
      <c r="F63" s="42">
        <v>1487566.76</v>
      </c>
      <c r="G63" s="42">
        <v>2023390.58</v>
      </c>
      <c r="H63" s="42">
        <v>2057755.88</v>
      </c>
      <c r="I63" s="35">
        <v>0</v>
      </c>
    </row>
    <row r="64" spans="1:9" ht="18.75" customHeight="1">
      <c r="A64" s="41" t="s">
        <v>100</v>
      </c>
      <c r="B64" s="38" t="s">
        <v>101</v>
      </c>
      <c r="C64" s="38" t="s">
        <v>99</v>
      </c>
      <c r="D64" s="38" t="s">
        <v>223</v>
      </c>
      <c r="E64" s="38" t="s">
        <v>77</v>
      </c>
      <c r="F64" s="42">
        <v>7271905.5800000001</v>
      </c>
      <c r="G64" s="42">
        <v>6249001.7800000003</v>
      </c>
      <c r="H64" s="42">
        <v>6386275.1299999999</v>
      </c>
      <c r="I64" s="35">
        <v>0</v>
      </c>
    </row>
    <row r="65" spans="1:9" ht="18.75" customHeight="1">
      <c r="A65" s="41" t="s">
        <v>108</v>
      </c>
      <c r="B65" s="38" t="s">
        <v>101</v>
      </c>
      <c r="C65" s="38" t="s">
        <v>99</v>
      </c>
      <c r="D65" s="38" t="s">
        <v>223</v>
      </c>
      <c r="E65" s="38" t="s">
        <v>109</v>
      </c>
      <c r="F65" s="42">
        <v>1667955.4</v>
      </c>
      <c r="G65" s="42">
        <v>2092366.51</v>
      </c>
      <c r="H65" s="42">
        <v>1984884.99</v>
      </c>
      <c r="I65" s="35">
        <v>0</v>
      </c>
    </row>
    <row r="66" spans="1:9" ht="18.75" customHeight="1">
      <c r="A66" s="41" t="s">
        <v>104</v>
      </c>
      <c r="B66" s="38" t="s">
        <v>101</v>
      </c>
      <c r="C66" s="38" t="s">
        <v>99</v>
      </c>
      <c r="D66" s="38" t="s">
        <v>223</v>
      </c>
      <c r="E66" s="38" t="s">
        <v>105</v>
      </c>
      <c r="F66" s="42">
        <v>484695.52</v>
      </c>
      <c r="G66" s="42">
        <v>484695.53</v>
      </c>
      <c r="H66" s="42">
        <v>484695.53</v>
      </c>
      <c r="I66" s="35">
        <v>0</v>
      </c>
    </row>
    <row r="67" spans="1:9" ht="18.75" customHeight="1">
      <c r="A67" s="41" t="s">
        <v>112</v>
      </c>
      <c r="B67" s="38" t="s">
        <v>101</v>
      </c>
      <c r="C67" s="38" t="s">
        <v>99</v>
      </c>
      <c r="D67" s="38" t="s">
        <v>223</v>
      </c>
      <c r="E67" s="38" t="s">
        <v>115</v>
      </c>
      <c r="F67" s="42">
        <v>934758.08</v>
      </c>
      <c r="G67" s="42">
        <v>522002.68</v>
      </c>
      <c r="H67" s="42">
        <v>561250.43999999994</v>
      </c>
      <c r="I67" s="35">
        <v>0</v>
      </c>
    </row>
    <row r="68" spans="1:9" ht="18.75" customHeight="1">
      <c r="A68" s="41" t="s">
        <v>112</v>
      </c>
      <c r="B68" s="38" t="s">
        <v>101</v>
      </c>
      <c r="C68" s="38" t="s">
        <v>99</v>
      </c>
      <c r="D68" s="38" t="s">
        <v>223</v>
      </c>
      <c r="E68" s="38" t="s">
        <v>114</v>
      </c>
      <c r="F68" s="42">
        <v>28117.07</v>
      </c>
      <c r="G68" s="42">
        <v>9117.07</v>
      </c>
      <c r="H68" s="42">
        <v>9117.07</v>
      </c>
      <c r="I68" s="35">
        <v>0</v>
      </c>
    </row>
    <row r="69" spans="1:9" ht="18.75" customHeight="1">
      <c r="A69" s="41" t="s">
        <v>112</v>
      </c>
      <c r="B69" s="38" t="s">
        <v>101</v>
      </c>
      <c r="C69" s="38" t="s">
        <v>99</v>
      </c>
      <c r="D69" s="38" t="s">
        <v>223</v>
      </c>
      <c r="E69" s="38" t="s">
        <v>116</v>
      </c>
      <c r="F69" s="42">
        <v>1029026.4</v>
      </c>
      <c r="G69" s="42">
        <v>1029026.4</v>
      </c>
      <c r="H69" s="42">
        <v>1029026.4</v>
      </c>
      <c r="I69" s="35">
        <v>0</v>
      </c>
    </row>
    <row r="70" spans="1:9" ht="18.75" customHeight="1">
      <c r="A70" s="41" t="s">
        <v>112</v>
      </c>
      <c r="B70" s="38" t="s">
        <v>101</v>
      </c>
      <c r="C70" s="38" t="s">
        <v>99</v>
      </c>
      <c r="D70" s="38" t="s">
        <v>223</v>
      </c>
      <c r="E70" s="38" t="s">
        <v>113</v>
      </c>
      <c r="F70" s="42">
        <v>51330</v>
      </c>
      <c r="G70" s="42">
        <v>51330</v>
      </c>
      <c r="H70" s="42">
        <v>51330</v>
      </c>
      <c r="I70" s="35">
        <v>0</v>
      </c>
    </row>
    <row r="71" spans="1:9" ht="18.75" customHeight="1">
      <c r="A71" s="41" t="s">
        <v>110</v>
      </c>
      <c r="B71" s="38" t="s">
        <v>101</v>
      </c>
      <c r="C71" s="38" t="s">
        <v>99</v>
      </c>
      <c r="D71" s="38" t="s">
        <v>223</v>
      </c>
      <c r="E71" s="38" t="s">
        <v>111</v>
      </c>
      <c r="F71" s="42">
        <v>3600401.26</v>
      </c>
      <c r="G71" s="42">
        <v>254705.11</v>
      </c>
      <c r="H71" s="42">
        <v>76395.55</v>
      </c>
      <c r="I71" s="35">
        <v>0</v>
      </c>
    </row>
    <row r="72" spans="1:9" ht="18.75" customHeight="1">
      <c r="A72" s="41" t="s">
        <v>102</v>
      </c>
      <c r="B72" s="38" t="s">
        <v>101</v>
      </c>
      <c r="C72" s="38" t="s">
        <v>99</v>
      </c>
      <c r="D72" s="38" t="s">
        <v>223</v>
      </c>
      <c r="E72" s="38" t="s">
        <v>103</v>
      </c>
      <c r="F72" s="42">
        <v>289784.15999999997</v>
      </c>
      <c r="G72" s="42">
        <v>289784.15999999997</v>
      </c>
      <c r="H72" s="42">
        <v>289784.15999999997</v>
      </c>
      <c r="I72" s="35">
        <v>0</v>
      </c>
    </row>
    <row r="73" spans="1:9" ht="18.75" customHeight="1">
      <c r="A73" s="36" t="s">
        <v>117</v>
      </c>
      <c r="B73" s="37" t="s">
        <v>118</v>
      </c>
      <c r="C73" s="37" t="s">
        <v>119</v>
      </c>
      <c r="D73" s="38" t="s">
        <v>223</v>
      </c>
      <c r="E73" s="38" t="s">
        <v>37</v>
      </c>
      <c r="F73" s="35">
        <v>0</v>
      </c>
      <c r="G73" s="35">
        <v>0</v>
      </c>
      <c r="H73" s="35">
        <v>0</v>
      </c>
      <c r="I73" s="35">
        <v>0</v>
      </c>
    </row>
    <row r="74" spans="1:9" ht="18.75" customHeight="1">
      <c r="A74" s="43" t="s">
        <v>120</v>
      </c>
      <c r="B74" s="34" t="s">
        <v>121</v>
      </c>
      <c r="C74" s="34" t="s">
        <v>122</v>
      </c>
      <c r="D74" s="38" t="s">
        <v>223</v>
      </c>
      <c r="E74" s="38" t="s">
        <v>37</v>
      </c>
      <c r="F74" s="35">
        <v>0</v>
      </c>
      <c r="G74" s="35">
        <v>0</v>
      </c>
      <c r="H74" s="35">
        <v>0</v>
      </c>
      <c r="I74" s="35">
        <v>0</v>
      </c>
    </row>
    <row r="75" spans="1:9" ht="18.75" customHeight="1">
      <c r="A75" s="43" t="s">
        <v>123</v>
      </c>
      <c r="B75" s="34" t="s">
        <v>124</v>
      </c>
      <c r="C75" s="34" t="s">
        <v>122</v>
      </c>
      <c r="D75" s="38" t="s">
        <v>223</v>
      </c>
      <c r="E75" s="38" t="s">
        <v>37</v>
      </c>
      <c r="F75" s="35">
        <v>0</v>
      </c>
      <c r="G75" s="35">
        <v>0</v>
      </c>
      <c r="H75" s="35">
        <v>0</v>
      </c>
      <c r="I75" s="35">
        <v>0</v>
      </c>
    </row>
    <row r="76" spans="1:9" ht="18.75" customHeight="1">
      <c r="A76" s="43" t="s">
        <v>125</v>
      </c>
      <c r="B76" s="34" t="s">
        <v>126</v>
      </c>
      <c r="C76" s="34" t="s">
        <v>122</v>
      </c>
      <c r="D76" s="38" t="s">
        <v>223</v>
      </c>
      <c r="E76" s="38" t="s">
        <v>37</v>
      </c>
      <c r="F76" s="35">
        <v>0</v>
      </c>
      <c r="G76" s="35">
        <v>0</v>
      </c>
      <c r="H76" s="35">
        <v>0</v>
      </c>
      <c r="I76" s="35">
        <v>0</v>
      </c>
    </row>
    <row r="77" spans="1:9" ht="18.75" customHeight="1"/>
  </sheetData>
  <mergeCells count="23">
    <mergeCell ref="F1:I1"/>
    <mergeCell ref="F2:I2"/>
    <mergeCell ref="H5:I5"/>
    <mergeCell ref="H6:I6"/>
    <mergeCell ref="H7:I7"/>
    <mergeCell ref="H8:I8"/>
    <mergeCell ref="H9:I9"/>
    <mergeCell ref="H10:I10"/>
    <mergeCell ref="H12:I12"/>
    <mergeCell ref="A14:H14"/>
    <mergeCell ref="A15:H15"/>
    <mergeCell ref="I15:I16"/>
    <mergeCell ref="B17:D17"/>
    <mergeCell ref="B19:F19"/>
    <mergeCell ref="B22:F22"/>
    <mergeCell ref="A25:I25"/>
    <mergeCell ref="A27:A29"/>
    <mergeCell ref="B27:B29"/>
    <mergeCell ref="C27:C29"/>
    <mergeCell ref="D27:D29"/>
    <mergeCell ref="E27:E29"/>
    <mergeCell ref="F27:I27"/>
    <mergeCell ref="I28:I29"/>
  </mergeCells>
  <pageMargins left="0.59055118110236238" right="0.51181102362204722" top="0.78740157480314954" bottom="0.31496062992125984" header="0.19685039370078738" footer="0.19685039370078738"/>
  <pageSetup paperSize="9" scale="56" orientation="portrait" r:id="rId1"/>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workbookViewId="0">
      <selection activeCell="CW10" sqref="CW10"/>
    </sheetView>
  </sheetViews>
  <sheetFormatPr defaultRowHeight="10.15" customHeight="1"/>
  <cols>
    <col min="1" max="25" width="0.85546875" style="28" bestFit="1" customWidth="1"/>
    <col min="26" max="26" width="3.28515625" style="28" bestFit="1" customWidth="1"/>
    <col min="27" max="27" width="2" style="28" bestFit="1" customWidth="1"/>
    <col min="28" max="69" width="0.85546875" style="28" bestFit="1" customWidth="1"/>
    <col min="70" max="70" width="1.7109375" style="28" bestFit="1" customWidth="1"/>
    <col min="71" max="99" width="0.85546875" style="28" bestFit="1" customWidth="1"/>
    <col min="100" max="100" width="8.7109375" style="28" bestFit="1" customWidth="1"/>
    <col min="101" max="101" width="15.85546875" style="28" bestFit="1" customWidth="1"/>
    <col min="102" max="102" width="15.28515625" style="28" bestFit="1" customWidth="1"/>
    <col min="103" max="103" width="14.28515625" style="28" bestFit="1" customWidth="1"/>
    <col min="104" max="104" width="11.7109375" style="28" bestFit="1" customWidth="1"/>
    <col min="105" max="105" width="9.140625" style="28" bestFit="1"/>
    <col min="106" max="16384" width="9.140625" style="28"/>
  </cols>
  <sheetData>
    <row r="1" spans="1:104" ht="22.5" customHeight="1">
      <c r="B1" s="807" t="s">
        <v>226</v>
      </c>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807"/>
      <c r="AN1" s="807"/>
      <c r="AO1" s="807"/>
      <c r="AP1" s="807"/>
      <c r="AQ1" s="807"/>
      <c r="AR1" s="807"/>
      <c r="AS1" s="807"/>
      <c r="AT1" s="807"/>
      <c r="AU1" s="807"/>
      <c r="AV1" s="807"/>
      <c r="AW1" s="807"/>
      <c r="AX1" s="807"/>
      <c r="AY1" s="807"/>
      <c r="AZ1" s="807"/>
      <c r="BA1" s="807"/>
      <c r="BB1" s="807"/>
      <c r="BC1" s="807"/>
      <c r="BD1" s="807"/>
      <c r="BE1" s="807"/>
      <c r="BF1" s="807"/>
      <c r="BG1" s="807"/>
      <c r="BH1" s="807"/>
      <c r="BI1" s="807"/>
      <c r="BJ1" s="807"/>
      <c r="BK1" s="807"/>
      <c r="BL1" s="807"/>
      <c r="BM1" s="807"/>
      <c r="BN1" s="807"/>
      <c r="BO1" s="807"/>
      <c r="BP1" s="807"/>
      <c r="BQ1" s="807"/>
      <c r="BR1" s="807"/>
      <c r="BS1" s="807"/>
      <c r="BT1" s="807"/>
      <c r="BU1" s="807"/>
      <c r="BV1" s="807"/>
      <c r="BW1" s="807"/>
      <c r="BX1" s="807"/>
      <c r="BY1" s="807"/>
      <c r="BZ1" s="807"/>
      <c r="CA1" s="807"/>
      <c r="CB1" s="807"/>
      <c r="CC1" s="807"/>
      <c r="CD1" s="807"/>
      <c r="CE1" s="807"/>
      <c r="CF1" s="807"/>
      <c r="CG1" s="807"/>
      <c r="CH1" s="807"/>
      <c r="CI1" s="807"/>
      <c r="CJ1" s="807"/>
      <c r="CK1" s="807"/>
      <c r="CL1" s="807"/>
      <c r="CM1" s="807"/>
      <c r="CN1" s="807"/>
      <c r="CO1" s="807"/>
      <c r="CP1" s="807"/>
      <c r="CQ1" s="807"/>
      <c r="CR1" s="807"/>
      <c r="CS1" s="807"/>
      <c r="CT1" s="807"/>
      <c r="CU1" s="807"/>
      <c r="CV1" s="807"/>
      <c r="CW1" s="807"/>
      <c r="CX1" s="807"/>
      <c r="CY1" s="807"/>
      <c r="CZ1" s="807"/>
    </row>
    <row r="2" spans="1:104" ht="15"/>
    <row r="3" spans="1:104" ht="11.25" customHeight="1">
      <c r="A3" s="760" t="s">
        <v>227</v>
      </c>
      <c r="B3" s="760"/>
      <c r="C3" s="760"/>
      <c r="D3" s="760"/>
      <c r="E3" s="760"/>
      <c r="F3" s="760"/>
      <c r="G3" s="760"/>
      <c r="H3" s="760"/>
      <c r="I3" s="759" t="s">
        <v>10</v>
      </c>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59"/>
      <c r="BC3" s="759"/>
      <c r="BD3" s="759"/>
      <c r="BE3" s="759"/>
      <c r="BF3" s="759"/>
      <c r="BG3" s="759"/>
      <c r="BH3" s="759"/>
      <c r="BI3" s="759"/>
      <c r="BJ3" s="759"/>
      <c r="BK3" s="759"/>
      <c r="BL3" s="759"/>
      <c r="BM3" s="759"/>
      <c r="BN3" s="759"/>
      <c r="BO3" s="759"/>
      <c r="BP3" s="759"/>
      <c r="BQ3" s="759"/>
      <c r="BR3" s="759"/>
      <c r="BS3" s="759"/>
      <c r="BT3" s="759"/>
      <c r="BU3" s="759"/>
      <c r="BV3" s="759"/>
      <c r="BW3" s="759"/>
      <c r="BX3" s="759"/>
      <c r="BY3" s="759"/>
      <c r="BZ3" s="759"/>
      <c r="CA3" s="759"/>
      <c r="CB3" s="759"/>
      <c r="CC3" s="759"/>
      <c r="CD3" s="759"/>
      <c r="CE3" s="759"/>
      <c r="CF3" s="759"/>
      <c r="CG3" s="759"/>
      <c r="CH3" s="759"/>
      <c r="CI3" s="759"/>
      <c r="CJ3" s="759"/>
      <c r="CK3" s="759"/>
      <c r="CL3" s="759"/>
      <c r="CM3" s="759"/>
      <c r="CN3" s="760" t="s">
        <v>228</v>
      </c>
      <c r="CO3" s="760"/>
      <c r="CP3" s="760"/>
      <c r="CQ3" s="760"/>
      <c r="CR3" s="760"/>
      <c r="CS3" s="760"/>
      <c r="CT3" s="760"/>
      <c r="CU3" s="760"/>
      <c r="CV3" s="760" t="s">
        <v>229</v>
      </c>
      <c r="CW3" s="759" t="s">
        <v>14</v>
      </c>
      <c r="CX3" s="759"/>
      <c r="CY3" s="759"/>
      <c r="CZ3" s="759"/>
    </row>
    <row r="4" spans="1:104" ht="11.25" customHeight="1">
      <c r="A4" s="760"/>
      <c r="B4" s="760"/>
      <c r="C4" s="760"/>
      <c r="D4" s="760"/>
      <c r="E4" s="760"/>
      <c r="F4" s="760"/>
      <c r="G4" s="760"/>
      <c r="H4" s="760"/>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759"/>
      <c r="BA4" s="759"/>
      <c r="BB4" s="759"/>
      <c r="BC4" s="759"/>
      <c r="BD4" s="759"/>
      <c r="BE4" s="759"/>
      <c r="BF4" s="759"/>
      <c r="BG4" s="759"/>
      <c r="BH4" s="759"/>
      <c r="BI4" s="759"/>
      <c r="BJ4" s="759"/>
      <c r="BK4" s="759"/>
      <c r="BL4" s="759"/>
      <c r="BM4" s="759"/>
      <c r="BN4" s="759"/>
      <c r="BO4" s="759"/>
      <c r="BP4" s="759"/>
      <c r="BQ4" s="759"/>
      <c r="BR4" s="759"/>
      <c r="BS4" s="759"/>
      <c r="BT4" s="759"/>
      <c r="BU4" s="759"/>
      <c r="BV4" s="759"/>
      <c r="BW4" s="759"/>
      <c r="BX4" s="759"/>
      <c r="BY4" s="759"/>
      <c r="BZ4" s="759"/>
      <c r="CA4" s="759"/>
      <c r="CB4" s="759"/>
      <c r="CC4" s="759"/>
      <c r="CD4" s="759"/>
      <c r="CE4" s="759"/>
      <c r="CF4" s="759"/>
      <c r="CG4" s="759"/>
      <c r="CH4" s="759"/>
      <c r="CI4" s="759"/>
      <c r="CJ4" s="759"/>
      <c r="CK4" s="759"/>
      <c r="CL4" s="759"/>
      <c r="CM4" s="759"/>
      <c r="CN4" s="760"/>
      <c r="CO4" s="760"/>
      <c r="CP4" s="760"/>
      <c r="CQ4" s="760"/>
      <c r="CR4" s="760"/>
      <c r="CS4" s="760"/>
      <c r="CT4" s="760"/>
      <c r="CU4" s="760"/>
      <c r="CV4" s="760"/>
      <c r="CW4" s="73" t="s">
        <v>15</v>
      </c>
      <c r="CX4" s="73" t="s">
        <v>16</v>
      </c>
      <c r="CY4" s="73" t="s">
        <v>17</v>
      </c>
      <c r="CZ4" s="760" t="s">
        <v>18</v>
      </c>
    </row>
    <row r="5" spans="1:104" ht="39" customHeight="1">
      <c r="A5" s="760"/>
      <c r="B5" s="760"/>
      <c r="C5" s="760"/>
      <c r="D5" s="760"/>
      <c r="E5" s="760"/>
      <c r="F5" s="760"/>
      <c r="G5" s="760"/>
      <c r="H5" s="760"/>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759"/>
      <c r="AT5" s="759"/>
      <c r="AU5" s="759"/>
      <c r="AV5" s="759"/>
      <c r="AW5" s="759"/>
      <c r="AX5" s="759"/>
      <c r="AY5" s="759"/>
      <c r="AZ5" s="759"/>
      <c r="BA5" s="759"/>
      <c r="BB5" s="759"/>
      <c r="BC5" s="759"/>
      <c r="BD5" s="759"/>
      <c r="BE5" s="759"/>
      <c r="BF5" s="759"/>
      <c r="BG5" s="759"/>
      <c r="BH5" s="759"/>
      <c r="BI5" s="759"/>
      <c r="BJ5" s="759"/>
      <c r="BK5" s="759"/>
      <c r="BL5" s="759"/>
      <c r="BM5" s="759"/>
      <c r="BN5" s="759"/>
      <c r="BO5" s="759"/>
      <c r="BP5" s="759"/>
      <c r="BQ5" s="759"/>
      <c r="BR5" s="759"/>
      <c r="BS5" s="759"/>
      <c r="BT5" s="759"/>
      <c r="BU5" s="759"/>
      <c r="BV5" s="759"/>
      <c r="BW5" s="759"/>
      <c r="BX5" s="759"/>
      <c r="BY5" s="759"/>
      <c r="BZ5" s="759"/>
      <c r="CA5" s="759"/>
      <c r="CB5" s="759"/>
      <c r="CC5" s="759"/>
      <c r="CD5" s="759"/>
      <c r="CE5" s="759"/>
      <c r="CF5" s="759"/>
      <c r="CG5" s="759"/>
      <c r="CH5" s="759"/>
      <c r="CI5" s="759"/>
      <c r="CJ5" s="759"/>
      <c r="CK5" s="759"/>
      <c r="CL5" s="759"/>
      <c r="CM5" s="759"/>
      <c r="CN5" s="760"/>
      <c r="CO5" s="760"/>
      <c r="CP5" s="760"/>
      <c r="CQ5" s="760"/>
      <c r="CR5" s="760"/>
      <c r="CS5" s="760"/>
      <c r="CT5" s="760"/>
      <c r="CU5" s="760"/>
      <c r="CV5" s="760"/>
      <c r="CW5" s="71" t="s">
        <v>230</v>
      </c>
      <c r="CX5" s="74" t="s">
        <v>231</v>
      </c>
      <c r="CY5" s="74" t="s">
        <v>232</v>
      </c>
      <c r="CZ5" s="760"/>
    </row>
    <row r="6" spans="1:104" ht="10.9" customHeight="1">
      <c r="A6" s="808" t="s">
        <v>22</v>
      </c>
      <c r="B6" s="808"/>
      <c r="C6" s="808"/>
      <c r="D6" s="808"/>
      <c r="E6" s="808"/>
      <c r="F6" s="808"/>
      <c r="G6" s="808"/>
      <c r="H6" s="808"/>
      <c r="I6" s="808" t="s">
        <v>23</v>
      </c>
      <c r="J6" s="808"/>
      <c r="K6" s="808"/>
      <c r="L6" s="808"/>
      <c r="M6" s="808"/>
      <c r="N6" s="808"/>
      <c r="O6" s="808"/>
      <c r="P6" s="808"/>
      <c r="Q6" s="808"/>
      <c r="R6" s="808"/>
      <c r="S6" s="808"/>
      <c r="T6" s="808"/>
      <c r="U6" s="808"/>
      <c r="V6" s="808"/>
      <c r="W6" s="808"/>
      <c r="X6" s="808"/>
      <c r="Y6" s="808"/>
      <c r="Z6" s="808"/>
      <c r="AA6" s="808"/>
      <c r="AB6" s="808"/>
      <c r="AC6" s="808"/>
      <c r="AD6" s="808"/>
      <c r="AE6" s="808"/>
      <c r="AF6" s="808"/>
      <c r="AG6" s="808"/>
      <c r="AH6" s="808"/>
      <c r="AI6" s="808"/>
      <c r="AJ6" s="808"/>
      <c r="AK6" s="808"/>
      <c r="AL6" s="808"/>
      <c r="AM6" s="808"/>
      <c r="AN6" s="808"/>
      <c r="AO6" s="808"/>
      <c r="AP6" s="808"/>
      <c r="AQ6" s="808"/>
      <c r="AR6" s="808"/>
      <c r="AS6" s="808"/>
      <c r="AT6" s="808"/>
      <c r="AU6" s="808"/>
      <c r="AV6" s="808"/>
      <c r="AW6" s="808"/>
      <c r="AX6" s="808"/>
      <c r="AY6" s="808"/>
      <c r="AZ6" s="808"/>
      <c r="BA6" s="808"/>
      <c r="BB6" s="808"/>
      <c r="BC6" s="808"/>
      <c r="BD6" s="808"/>
      <c r="BE6" s="808"/>
      <c r="BF6" s="808"/>
      <c r="BG6" s="808"/>
      <c r="BH6" s="808"/>
      <c r="BI6" s="808"/>
      <c r="BJ6" s="808"/>
      <c r="BK6" s="808"/>
      <c r="BL6" s="808"/>
      <c r="BM6" s="808"/>
      <c r="BN6" s="808"/>
      <c r="BO6" s="808"/>
      <c r="BP6" s="808"/>
      <c r="BQ6" s="808"/>
      <c r="BR6" s="808"/>
      <c r="BS6" s="808"/>
      <c r="BT6" s="808"/>
      <c r="BU6" s="808"/>
      <c r="BV6" s="808"/>
      <c r="BW6" s="808"/>
      <c r="BX6" s="808"/>
      <c r="BY6" s="808"/>
      <c r="BZ6" s="808"/>
      <c r="CA6" s="808"/>
      <c r="CB6" s="808"/>
      <c r="CC6" s="808"/>
      <c r="CD6" s="808"/>
      <c r="CE6" s="808"/>
      <c r="CF6" s="808"/>
      <c r="CG6" s="808"/>
      <c r="CH6" s="808"/>
      <c r="CI6" s="808"/>
      <c r="CJ6" s="808"/>
      <c r="CK6" s="808"/>
      <c r="CL6" s="808"/>
      <c r="CM6" s="808"/>
      <c r="CN6" s="808" t="s">
        <v>24</v>
      </c>
      <c r="CO6" s="808"/>
      <c r="CP6" s="808"/>
      <c r="CQ6" s="808"/>
      <c r="CR6" s="808"/>
      <c r="CS6" s="808"/>
      <c r="CT6" s="808"/>
      <c r="CU6" s="808"/>
      <c r="CV6" s="72" t="s">
        <v>25</v>
      </c>
      <c r="CW6" s="72" t="s">
        <v>26</v>
      </c>
      <c r="CX6" s="72" t="s">
        <v>27</v>
      </c>
      <c r="CY6" s="72" t="s">
        <v>28</v>
      </c>
      <c r="CZ6" s="72" t="s">
        <v>29</v>
      </c>
    </row>
    <row r="7" spans="1:104" ht="18" customHeight="1">
      <c r="A7" s="798">
        <v>1</v>
      </c>
      <c r="B7" s="798"/>
      <c r="C7" s="798"/>
      <c r="D7" s="798"/>
      <c r="E7" s="798"/>
      <c r="F7" s="798"/>
      <c r="G7" s="798"/>
      <c r="H7" s="798"/>
      <c r="I7" s="805" t="s">
        <v>233</v>
      </c>
      <c r="J7" s="805"/>
      <c r="K7" s="805"/>
      <c r="L7" s="805"/>
      <c r="M7" s="805"/>
      <c r="N7" s="805"/>
      <c r="O7" s="805"/>
      <c r="P7" s="805"/>
      <c r="Q7" s="805"/>
      <c r="R7" s="805"/>
      <c r="S7" s="805"/>
      <c r="T7" s="805"/>
      <c r="U7" s="805"/>
      <c r="V7" s="805"/>
      <c r="W7" s="805"/>
      <c r="X7" s="805"/>
      <c r="Y7" s="805"/>
      <c r="Z7" s="805"/>
      <c r="AA7" s="805"/>
      <c r="AB7" s="805"/>
      <c r="AC7" s="805"/>
      <c r="AD7" s="805"/>
      <c r="AE7" s="805"/>
      <c r="AF7" s="805"/>
      <c r="AG7" s="805"/>
      <c r="AH7" s="805"/>
      <c r="AI7" s="805"/>
      <c r="AJ7" s="805"/>
      <c r="AK7" s="805"/>
      <c r="AL7" s="805"/>
      <c r="AM7" s="805"/>
      <c r="AN7" s="805"/>
      <c r="AO7" s="805"/>
      <c r="AP7" s="805"/>
      <c r="AQ7" s="805"/>
      <c r="AR7" s="805"/>
      <c r="AS7" s="805"/>
      <c r="AT7" s="805"/>
      <c r="AU7" s="805"/>
      <c r="AV7" s="805"/>
      <c r="AW7" s="805"/>
      <c r="AX7" s="805"/>
      <c r="AY7" s="805"/>
      <c r="AZ7" s="805"/>
      <c r="BA7" s="805"/>
      <c r="BB7" s="805"/>
      <c r="BC7" s="805"/>
      <c r="BD7" s="805"/>
      <c r="BE7" s="805"/>
      <c r="BF7" s="805"/>
      <c r="BG7" s="805"/>
      <c r="BH7" s="805"/>
      <c r="BI7" s="805"/>
      <c r="BJ7" s="805"/>
      <c r="BK7" s="805"/>
      <c r="BL7" s="805"/>
      <c r="BM7" s="805"/>
      <c r="BN7" s="805"/>
      <c r="BO7" s="805"/>
      <c r="BP7" s="805"/>
      <c r="BQ7" s="805"/>
      <c r="BR7" s="805"/>
      <c r="BS7" s="805"/>
      <c r="BT7" s="805"/>
      <c r="BU7" s="805"/>
      <c r="BV7" s="805"/>
      <c r="BW7" s="805"/>
      <c r="BX7" s="805"/>
      <c r="BY7" s="805"/>
      <c r="BZ7" s="805"/>
      <c r="CA7" s="805"/>
      <c r="CB7" s="805"/>
      <c r="CC7" s="805"/>
      <c r="CD7" s="805"/>
      <c r="CE7" s="805"/>
      <c r="CF7" s="805"/>
      <c r="CG7" s="805"/>
      <c r="CH7" s="805"/>
      <c r="CI7" s="805"/>
      <c r="CJ7" s="805"/>
      <c r="CK7" s="805"/>
      <c r="CL7" s="805"/>
      <c r="CM7" s="805"/>
      <c r="CN7" s="802" t="s">
        <v>234</v>
      </c>
      <c r="CO7" s="802"/>
      <c r="CP7" s="802"/>
      <c r="CQ7" s="802"/>
      <c r="CR7" s="802"/>
      <c r="CS7" s="802"/>
      <c r="CT7" s="802"/>
      <c r="CU7" s="802"/>
      <c r="CV7" s="34" t="s">
        <v>235</v>
      </c>
      <c r="CW7" s="35">
        <f>CW12+CW19+CW10</f>
        <v>25661310.23</v>
      </c>
      <c r="CX7" s="35">
        <v>13005419.82</v>
      </c>
      <c r="CY7" s="35">
        <v>12930515.15</v>
      </c>
      <c r="CZ7" s="35">
        <v>0</v>
      </c>
    </row>
    <row r="8" spans="1:104" ht="24" customHeight="1">
      <c r="A8" s="793" t="s">
        <v>236</v>
      </c>
      <c r="B8" s="793"/>
      <c r="C8" s="793"/>
      <c r="D8" s="793"/>
      <c r="E8" s="793"/>
      <c r="F8" s="793"/>
      <c r="G8" s="793"/>
      <c r="H8" s="793"/>
      <c r="I8" s="806" t="s">
        <v>237</v>
      </c>
      <c r="J8" s="804"/>
      <c r="K8" s="804"/>
      <c r="L8" s="804"/>
      <c r="M8" s="804"/>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4"/>
      <c r="AN8" s="804"/>
      <c r="AO8" s="804"/>
      <c r="AP8" s="804"/>
      <c r="AQ8" s="804"/>
      <c r="AR8" s="804"/>
      <c r="AS8" s="804"/>
      <c r="AT8" s="804"/>
      <c r="AU8" s="804"/>
      <c r="AV8" s="804"/>
      <c r="AW8" s="804"/>
      <c r="AX8" s="804"/>
      <c r="AY8" s="804"/>
      <c r="AZ8" s="804"/>
      <c r="BA8" s="804"/>
      <c r="BB8" s="804"/>
      <c r="BC8" s="804"/>
      <c r="BD8" s="804"/>
      <c r="BE8" s="804"/>
      <c r="BF8" s="804"/>
      <c r="BG8" s="804"/>
      <c r="BH8" s="804"/>
      <c r="BI8" s="804"/>
      <c r="BJ8" s="804"/>
      <c r="BK8" s="804"/>
      <c r="BL8" s="804"/>
      <c r="BM8" s="804"/>
      <c r="BN8" s="804"/>
      <c r="BO8" s="804"/>
      <c r="BP8" s="804"/>
      <c r="BQ8" s="804"/>
      <c r="BR8" s="804"/>
      <c r="BS8" s="804"/>
      <c r="BT8" s="804"/>
      <c r="BU8" s="804"/>
      <c r="BV8" s="804"/>
      <c r="BW8" s="804"/>
      <c r="BX8" s="804"/>
      <c r="BY8" s="804"/>
      <c r="BZ8" s="804"/>
      <c r="CA8" s="804"/>
      <c r="CB8" s="804"/>
      <c r="CC8" s="804"/>
      <c r="CD8" s="804"/>
      <c r="CE8" s="804"/>
      <c r="CF8" s="804"/>
      <c r="CG8" s="804"/>
      <c r="CH8" s="804"/>
      <c r="CI8" s="804"/>
      <c r="CJ8" s="804"/>
      <c r="CK8" s="804"/>
      <c r="CL8" s="804"/>
      <c r="CM8" s="804"/>
      <c r="CN8" s="796" t="s">
        <v>238</v>
      </c>
      <c r="CO8" s="796"/>
      <c r="CP8" s="796"/>
      <c r="CQ8" s="796"/>
      <c r="CR8" s="796"/>
      <c r="CS8" s="796"/>
      <c r="CT8" s="796"/>
      <c r="CU8" s="796"/>
      <c r="CV8" s="34" t="s">
        <v>239</v>
      </c>
      <c r="CW8" s="35">
        <v>0</v>
      </c>
      <c r="CX8" s="35">
        <v>0</v>
      </c>
      <c r="CY8" s="35">
        <v>0</v>
      </c>
      <c r="CZ8" s="35">
        <v>0</v>
      </c>
    </row>
    <row r="9" spans="1:104" ht="24" customHeight="1">
      <c r="A9" s="793" t="s">
        <v>240</v>
      </c>
      <c r="B9" s="793"/>
      <c r="C9" s="793"/>
      <c r="D9" s="793"/>
      <c r="E9" s="793"/>
      <c r="F9" s="793"/>
      <c r="G9" s="793"/>
      <c r="H9" s="793"/>
      <c r="I9" s="803" t="s">
        <v>241</v>
      </c>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4"/>
      <c r="AL9" s="804"/>
      <c r="AM9" s="804"/>
      <c r="AN9" s="804"/>
      <c r="AO9" s="804"/>
      <c r="AP9" s="804"/>
      <c r="AQ9" s="804"/>
      <c r="AR9" s="804"/>
      <c r="AS9" s="804"/>
      <c r="AT9" s="804"/>
      <c r="AU9" s="804"/>
      <c r="AV9" s="804"/>
      <c r="AW9" s="804"/>
      <c r="AX9" s="804"/>
      <c r="AY9" s="804"/>
      <c r="AZ9" s="804"/>
      <c r="BA9" s="804"/>
      <c r="BB9" s="804"/>
      <c r="BC9" s="804"/>
      <c r="BD9" s="804"/>
      <c r="BE9" s="804"/>
      <c r="BF9" s="804"/>
      <c r="BG9" s="804"/>
      <c r="BH9" s="804"/>
      <c r="BI9" s="804"/>
      <c r="BJ9" s="804"/>
      <c r="BK9" s="804"/>
      <c r="BL9" s="804"/>
      <c r="BM9" s="804"/>
      <c r="BN9" s="804"/>
      <c r="BO9" s="804"/>
      <c r="BP9" s="804"/>
      <c r="BQ9" s="804"/>
      <c r="BR9" s="804"/>
      <c r="BS9" s="804"/>
      <c r="BT9" s="804"/>
      <c r="BU9" s="804"/>
      <c r="BV9" s="804"/>
      <c r="BW9" s="804"/>
      <c r="BX9" s="804"/>
      <c r="BY9" s="804"/>
      <c r="BZ9" s="804"/>
      <c r="CA9" s="804"/>
      <c r="CB9" s="804"/>
      <c r="CC9" s="804"/>
      <c r="CD9" s="804"/>
      <c r="CE9" s="804"/>
      <c r="CF9" s="804"/>
      <c r="CG9" s="804"/>
      <c r="CH9" s="804"/>
      <c r="CI9" s="804"/>
      <c r="CJ9" s="804"/>
      <c r="CK9" s="804"/>
      <c r="CL9" s="804"/>
      <c r="CM9" s="804"/>
      <c r="CN9" s="796" t="s">
        <v>242</v>
      </c>
      <c r="CO9" s="796"/>
      <c r="CP9" s="796"/>
      <c r="CQ9" s="796"/>
      <c r="CR9" s="796"/>
      <c r="CS9" s="796"/>
      <c r="CT9" s="796"/>
      <c r="CU9" s="796"/>
      <c r="CV9" s="34" t="s">
        <v>235</v>
      </c>
      <c r="CW9" s="35">
        <v>0</v>
      </c>
      <c r="CX9" s="35">
        <v>0</v>
      </c>
      <c r="CY9" s="35">
        <v>0</v>
      </c>
      <c r="CZ9" s="35">
        <v>0</v>
      </c>
    </row>
    <row r="10" spans="1:104" ht="24" customHeight="1">
      <c r="A10" s="793" t="s">
        <v>243</v>
      </c>
      <c r="B10" s="793"/>
      <c r="C10" s="793"/>
      <c r="D10" s="793"/>
      <c r="E10" s="793"/>
      <c r="F10" s="793"/>
      <c r="G10" s="793"/>
      <c r="H10" s="793"/>
      <c r="I10" s="803" t="s">
        <v>244</v>
      </c>
      <c r="J10" s="804"/>
      <c r="K10" s="804"/>
      <c r="L10" s="804"/>
      <c r="M10" s="804"/>
      <c r="N10" s="804"/>
      <c r="O10" s="804"/>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4"/>
      <c r="AY10" s="804"/>
      <c r="AZ10" s="804"/>
      <c r="BA10" s="804"/>
      <c r="BB10" s="804"/>
      <c r="BC10" s="804"/>
      <c r="BD10" s="804"/>
      <c r="BE10" s="804"/>
      <c r="BF10" s="804"/>
      <c r="BG10" s="804"/>
      <c r="BH10" s="804"/>
      <c r="BI10" s="804"/>
      <c r="BJ10" s="804"/>
      <c r="BK10" s="804"/>
      <c r="BL10" s="804"/>
      <c r="BM10" s="804"/>
      <c r="BN10" s="804"/>
      <c r="BO10" s="804"/>
      <c r="BP10" s="804"/>
      <c r="BQ10" s="804"/>
      <c r="BR10" s="804"/>
      <c r="BS10" s="804"/>
      <c r="BT10" s="804"/>
      <c r="BU10" s="804"/>
      <c r="BV10" s="804"/>
      <c r="BW10" s="804"/>
      <c r="BX10" s="804"/>
      <c r="BY10" s="804"/>
      <c r="BZ10" s="804"/>
      <c r="CA10" s="804"/>
      <c r="CB10" s="804"/>
      <c r="CC10" s="804"/>
      <c r="CD10" s="804"/>
      <c r="CE10" s="804"/>
      <c r="CF10" s="804"/>
      <c r="CG10" s="804"/>
      <c r="CH10" s="804"/>
      <c r="CI10" s="804"/>
      <c r="CJ10" s="804"/>
      <c r="CK10" s="804"/>
      <c r="CL10" s="804"/>
      <c r="CM10" s="804"/>
      <c r="CN10" s="796" t="s">
        <v>245</v>
      </c>
      <c r="CO10" s="796"/>
      <c r="CP10" s="796"/>
      <c r="CQ10" s="796"/>
      <c r="CR10" s="796"/>
      <c r="CS10" s="796"/>
      <c r="CT10" s="796"/>
      <c r="CU10" s="796"/>
      <c r="CV10" s="34" t="s">
        <v>239</v>
      </c>
      <c r="CW10" s="35">
        <v>1066553.75</v>
      </c>
      <c r="CX10" s="35">
        <v>0</v>
      </c>
      <c r="CY10" s="35">
        <v>0</v>
      </c>
      <c r="CZ10" s="35">
        <v>0</v>
      </c>
    </row>
    <row r="11" spans="1:104" ht="24" customHeight="1">
      <c r="A11" s="793" t="s">
        <v>246</v>
      </c>
      <c r="B11" s="793"/>
      <c r="C11" s="793"/>
      <c r="D11" s="793"/>
      <c r="E11" s="793"/>
      <c r="F11" s="793"/>
      <c r="G11" s="793"/>
      <c r="H11" s="793"/>
      <c r="I11" s="803" t="s">
        <v>247</v>
      </c>
      <c r="J11" s="804"/>
      <c r="K11" s="804"/>
      <c r="L11" s="804"/>
      <c r="M11" s="804"/>
      <c r="N11" s="804"/>
      <c r="O11" s="804"/>
      <c r="P11" s="804"/>
      <c r="Q11" s="804"/>
      <c r="R11" s="804"/>
      <c r="S11" s="804"/>
      <c r="T11" s="804"/>
      <c r="U11" s="804"/>
      <c r="V11" s="804"/>
      <c r="W11" s="804"/>
      <c r="X11" s="804"/>
      <c r="Y11" s="804"/>
      <c r="Z11" s="804"/>
      <c r="AA11" s="804"/>
      <c r="AB11" s="804"/>
      <c r="AC11" s="804"/>
      <c r="AD11" s="804"/>
      <c r="AE11" s="804"/>
      <c r="AF11" s="804"/>
      <c r="AG11" s="804"/>
      <c r="AH11" s="804"/>
      <c r="AI11" s="804"/>
      <c r="AJ11" s="804"/>
      <c r="AK11" s="804"/>
      <c r="AL11" s="804"/>
      <c r="AM11" s="804"/>
      <c r="AN11" s="804"/>
      <c r="AO11" s="804"/>
      <c r="AP11" s="804"/>
      <c r="AQ11" s="804"/>
      <c r="AR11" s="804"/>
      <c r="AS11" s="804"/>
      <c r="AT11" s="804"/>
      <c r="AU11" s="804"/>
      <c r="AV11" s="804"/>
      <c r="AW11" s="804"/>
      <c r="AX11" s="804"/>
      <c r="AY11" s="804"/>
      <c r="AZ11" s="804"/>
      <c r="BA11" s="804"/>
      <c r="BB11" s="804"/>
      <c r="BC11" s="804"/>
      <c r="BD11" s="804"/>
      <c r="BE11" s="804"/>
      <c r="BF11" s="804"/>
      <c r="BG11" s="804"/>
      <c r="BH11" s="804"/>
      <c r="BI11" s="804"/>
      <c r="BJ11" s="804"/>
      <c r="BK11" s="804"/>
      <c r="BL11" s="804"/>
      <c r="BM11" s="804"/>
      <c r="BN11" s="804"/>
      <c r="BO11" s="804"/>
      <c r="BP11" s="804"/>
      <c r="BQ11" s="804"/>
      <c r="BR11" s="804"/>
      <c r="BS11" s="804"/>
      <c r="BT11" s="804"/>
      <c r="BU11" s="804"/>
      <c r="BV11" s="804"/>
      <c r="BW11" s="804"/>
      <c r="BX11" s="804"/>
      <c r="BY11" s="804"/>
      <c r="BZ11" s="804"/>
      <c r="CA11" s="804"/>
      <c r="CB11" s="804"/>
      <c r="CC11" s="804"/>
      <c r="CD11" s="804"/>
      <c r="CE11" s="804"/>
      <c r="CF11" s="804"/>
      <c r="CG11" s="804"/>
      <c r="CH11" s="804"/>
      <c r="CI11" s="804"/>
      <c r="CJ11" s="804"/>
      <c r="CK11" s="804"/>
      <c r="CL11" s="804"/>
      <c r="CM11" s="804"/>
      <c r="CN11" s="796" t="s">
        <v>248</v>
      </c>
      <c r="CO11" s="796"/>
      <c r="CP11" s="796"/>
      <c r="CQ11" s="796"/>
      <c r="CR11" s="796"/>
      <c r="CS11" s="796"/>
      <c r="CT11" s="796"/>
      <c r="CU11" s="796"/>
      <c r="CV11" s="34" t="s">
        <v>235</v>
      </c>
      <c r="CW11" s="35">
        <v>24356743.59</v>
      </c>
      <c r="CX11" s="35">
        <v>13005419.82</v>
      </c>
      <c r="CY11" s="35">
        <v>12930515.15</v>
      </c>
      <c r="CZ11" s="35">
        <v>0</v>
      </c>
    </row>
    <row r="12" spans="1:104" ht="24" customHeight="1">
      <c r="A12" s="793" t="s">
        <v>249</v>
      </c>
      <c r="B12" s="793"/>
      <c r="C12" s="793"/>
      <c r="D12" s="793"/>
      <c r="E12" s="793"/>
      <c r="F12" s="793"/>
      <c r="G12" s="793"/>
      <c r="H12" s="793"/>
      <c r="I12" s="803" t="s">
        <v>250</v>
      </c>
      <c r="J12" s="804"/>
      <c r="K12" s="804"/>
      <c r="L12" s="804"/>
      <c r="M12" s="804"/>
      <c r="N12" s="804"/>
      <c r="O12" s="804"/>
      <c r="P12" s="804"/>
      <c r="Q12" s="804"/>
      <c r="R12" s="804"/>
      <c r="S12" s="804"/>
      <c r="T12" s="804"/>
      <c r="U12" s="804"/>
      <c r="V12" s="804"/>
      <c r="W12" s="804"/>
      <c r="X12" s="804"/>
      <c r="Y12" s="804"/>
      <c r="Z12" s="804"/>
      <c r="AA12" s="804"/>
      <c r="AB12" s="804"/>
      <c r="AC12" s="804"/>
      <c r="AD12" s="804"/>
      <c r="AE12" s="804"/>
      <c r="AF12" s="804"/>
      <c r="AG12" s="804"/>
      <c r="AH12" s="804"/>
      <c r="AI12" s="804"/>
      <c r="AJ12" s="804"/>
      <c r="AK12" s="804"/>
      <c r="AL12" s="804"/>
      <c r="AM12" s="804"/>
      <c r="AN12" s="804"/>
      <c r="AO12" s="804"/>
      <c r="AP12" s="804"/>
      <c r="AQ12" s="804"/>
      <c r="AR12" s="804"/>
      <c r="AS12" s="804"/>
      <c r="AT12" s="804"/>
      <c r="AU12" s="804"/>
      <c r="AV12" s="804"/>
      <c r="AW12" s="804"/>
      <c r="AX12" s="804"/>
      <c r="AY12" s="804"/>
      <c r="AZ12" s="804"/>
      <c r="BA12" s="804"/>
      <c r="BB12" s="804"/>
      <c r="BC12" s="804"/>
      <c r="BD12" s="804"/>
      <c r="BE12" s="804"/>
      <c r="BF12" s="804"/>
      <c r="BG12" s="804"/>
      <c r="BH12" s="804"/>
      <c r="BI12" s="804"/>
      <c r="BJ12" s="804"/>
      <c r="BK12" s="804"/>
      <c r="BL12" s="804"/>
      <c r="BM12" s="804"/>
      <c r="BN12" s="804"/>
      <c r="BO12" s="804"/>
      <c r="BP12" s="804"/>
      <c r="BQ12" s="804"/>
      <c r="BR12" s="804"/>
      <c r="BS12" s="804"/>
      <c r="BT12" s="804"/>
      <c r="BU12" s="804"/>
      <c r="BV12" s="804"/>
      <c r="BW12" s="804"/>
      <c r="BX12" s="804"/>
      <c r="BY12" s="804"/>
      <c r="BZ12" s="804"/>
      <c r="CA12" s="804"/>
      <c r="CB12" s="804"/>
      <c r="CC12" s="804"/>
      <c r="CD12" s="804"/>
      <c r="CE12" s="804"/>
      <c r="CF12" s="804"/>
      <c r="CG12" s="804"/>
      <c r="CH12" s="804"/>
      <c r="CI12" s="804"/>
      <c r="CJ12" s="804"/>
      <c r="CK12" s="804"/>
      <c r="CL12" s="804"/>
      <c r="CM12" s="804"/>
      <c r="CN12" s="796" t="s">
        <v>251</v>
      </c>
      <c r="CO12" s="796"/>
      <c r="CP12" s="796"/>
      <c r="CQ12" s="796"/>
      <c r="CR12" s="796"/>
      <c r="CS12" s="796"/>
      <c r="CT12" s="796"/>
      <c r="CU12" s="796"/>
      <c r="CV12" s="34" t="s">
        <v>235</v>
      </c>
      <c r="CW12" s="35">
        <v>19000450.609999999</v>
      </c>
      <c r="CX12" s="35">
        <v>7945440</v>
      </c>
      <c r="CY12" s="35">
        <v>8148592.71</v>
      </c>
      <c r="CZ12" s="35">
        <v>0</v>
      </c>
    </row>
    <row r="13" spans="1:104" ht="24" customHeight="1">
      <c r="A13" s="793" t="s">
        <v>252</v>
      </c>
      <c r="B13" s="793"/>
      <c r="C13" s="793"/>
      <c r="D13" s="793"/>
      <c r="E13" s="793"/>
      <c r="F13" s="793"/>
      <c r="G13" s="793"/>
      <c r="H13" s="793"/>
      <c r="I13" s="794" t="s">
        <v>253</v>
      </c>
      <c r="J13" s="795"/>
      <c r="K13" s="795"/>
      <c r="L13" s="795"/>
      <c r="M13" s="795"/>
      <c r="N13" s="795"/>
      <c r="O13" s="795"/>
      <c r="P13" s="795"/>
      <c r="Q13" s="795"/>
      <c r="R13" s="795"/>
      <c r="S13" s="795"/>
      <c r="T13" s="795"/>
      <c r="U13" s="795"/>
      <c r="V13" s="795"/>
      <c r="W13" s="795"/>
      <c r="X13" s="795"/>
      <c r="Y13" s="795"/>
      <c r="Z13" s="795"/>
      <c r="AA13" s="795"/>
      <c r="AB13" s="795"/>
      <c r="AC13" s="795"/>
      <c r="AD13" s="795"/>
      <c r="AE13" s="795"/>
      <c r="AF13" s="795"/>
      <c r="AG13" s="795"/>
      <c r="AH13" s="795"/>
      <c r="AI13" s="795"/>
      <c r="AJ13" s="795"/>
      <c r="AK13" s="795"/>
      <c r="AL13" s="795"/>
      <c r="AM13" s="795"/>
      <c r="AN13" s="795"/>
      <c r="AO13" s="795"/>
      <c r="AP13" s="795"/>
      <c r="AQ13" s="795"/>
      <c r="AR13" s="795"/>
      <c r="AS13" s="795"/>
      <c r="AT13" s="795"/>
      <c r="AU13" s="795"/>
      <c r="AV13" s="795"/>
      <c r="AW13" s="795"/>
      <c r="AX13" s="795"/>
      <c r="AY13" s="795"/>
      <c r="AZ13" s="795"/>
      <c r="BA13" s="795"/>
      <c r="BB13" s="795"/>
      <c r="BC13" s="795"/>
      <c r="BD13" s="795"/>
      <c r="BE13" s="795"/>
      <c r="BF13" s="795"/>
      <c r="BG13" s="795"/>
      <c r="BH13" s="795"/>
      <c r="BI13" s="795"/>
      <c r="BJ13" s="795"/>
      <c r="BK13" s="795"/>
      <c r="BL13" s="795"/>
      <c r="BM13" s="795"/>
      <c r="BN13" s="795"/>
      <c r="BO13" s="795"/>
      <c r="BP13" s="795"/>
      <c r="BQ13" s="795"/>
      <c r="BR13" s="795"/>
      <c r="BS13" s="795"/>
      <c r="BT13" s="795"/>
      <c r="BU13" s="795"/>
      <c r="BV13" s="795"/>
      <c r="BW13" s="795"/>
      <c r="BX13" s="795"/>
      <c r="BY13" s="795"/>
      <c r="BZ13" s="795"/>
      <c r="CA13" s="795"/>
      <c r="CB13" s="795"/>
      <c r="CC13" s="795"/>
      <c r="CD13" s="795"/>
      <c r="CE13" s="795"/>
      <c r="CF13" s="795"/>
      <c r="CG13" s="795"/>
      <c r="CH13" s="795"/>
      <c r="CI13" s="795"/>
      <c r="CJ13" s="795"/>
      <c r="CK13" s="795"/>
      <c r="CL13" s="795"/>
      <c r="CM13" s="795"/>
      <c r="CN13" s="796" t="s">
        <v>254</v>
      </c>
      <c r="CO13" s="796"/>
      <c r="CP13" s="796"/>
      <c r="CQ13" s="796"/>
      <c r="CR13" s="796"/>
      <c r="CS13" s="796"/>
      <c r="CT13" s="796"/>
      <c r="CU13" s="796"/>
      <c r="CV13" s="34" t="s">
        <v>235</v>
      </c>
      <c r="CW13" s="35">
        <v>0</v>
      </c>
      <c r="CX13" s="35">
        <v>0</v>
      </c>
      <c r="CY13" s="35">
        <v>0</v>
      </c>
      <c r="CZ13" s="35">
        <v>0</v>
      </c>
    </row>
    <row r="14" spans="1:104" ht="24" customHeight="1">
      <c r="A14" s="793" t="s">
        <v>255</v>
      </c>
      <c r="B14" s="793"/>
      <c r="C14" s="793"/>
      <c r="D14" s="793"/>
      <c r="E14" s="793"/>
      <c r="F14" s="793"/>
      <c r="G14" s="793"/>
      <c r="H14" s="793"/>
      <c r="I14" s="794" t="s">
        <v>256</v>
      </c>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c r="AQ14" s="795"/>
      <c r="AR14" s="795"/>
      <c r="AS14" s="795"/>
      <c r="AT14" s="795"/>
      <c r="AU14" s="795"/>
      <c r="AV14" s="795"/>
      <c r="AW14" s="795"/>
      <c r="AX14" s="795"/>
      <c r="AY14" s="795"/>
      <c r="AZ14" s="795"/>
      <c r="BA14" s="795"/>
      <c r="BB14" s="795"/>
      <c r="BC14" s="795"/>
      <c r="BD14" s="795"/>
      <c r="BE14" s="795"/>
      <c r="BF14" s="795"/>
      <c r="BG14" s="795"/>
      <c r="BH14" s="795"/>
      <c r="BI14" s="795"/>
      <c r="BJ14" s="795"/>
      <c r="BK14" s="795"/>
      <c r="BL14" s="795"/>
      <c r="BM14" s="795"/>
      <c r="BN14" s="795"/>
      <c r="BO14" s="795"/>
      <c r="BP14" s="795"/>
      <c r="BQ14" s="795"/>
      <c r="BR14" s="795"/>
      <c r="BS14" s="795"/>
      <c r="BT14" s="795"/>
      <c r="BU14" s="795"/>
      <c r="BV14" s="795"/>
      <c r="BW14" s="795"/>
      <c r="BX14" s="795"/>
      <c r="BY14" s="795"/>
      <c r="BZ14" s="795"/>
      <c r="CA14" s="795"/>
      <c r="CB14" s="795"/>
      <c r="CC14" s="795"/>
      <c r="CD14" s="795"/>
      <c r="CE14" s="795"/>
      <c r="CF14" s="795"/>
      <c r="CG14" s="795"/>
      <c r="CH14" s="795"/>
      <c r="CI14" s="795"/>
      <c r="CJ14" s="795"/>
      <c r="CK14" s="795"/>
      <c r="CL14" s="795"/>
      <c r="CM14" s="795"/>
      <c r="CN14" s="796" t="s">
        <v>257</v>
      </c>
      <c r="CO14" s="796"/>
      <c r="CP14" s="796"/>
      <c r="CQ14" s="796"/>
      <c r="CR14" s="796"/>
      <c r="CS14" s="796"/>
      <c r="CT14" s="796"/>
      <c r="CU14" s="796"/>
      <c r="CV14" s="34" t="s">
        <v>235</v>
      </c>
      <c r="CW14" s="35">
        <v>19000450.609999999</v>
      </c>
      <c r="CX14" s="35">
        <v>7945440</v>
      </c>
      <c r="CY14" s="35">
        <v>8148592.71</v>
      </c>
      <c r="CZ14" s="35">
        <v>0</v>
      </c>
    </row>
    <row r="15" spans="1:104" ht="24" customHeight="1">
      <c r="A15" s="793" t="s">
        <v>258</v>
      </c>
      <c r="B15" s="793"/>
      <c r="C15" s="793"/>
      <c r="D15" s="793"/>
      <c r="E15" s="793"/>
      <c r="F15" s="793"/>
      <c r="G15" s="793"/>
      <c r="H15" s="793"/>
      <c r="I15" s="803" t="s">
        <v>259</v>
      </c>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c r="AM15" s="804"/>
      <c r="AN15" s="804"/>
      <c r="AO15" s="804"/>
      <c r="AP15" s="804"/>
      <c r="AQ15" s="804"/>
      <c r="AR15" s="804"/>
      <c r="AS15" s="804"/>
      <c r="AT15" s="804"/>
      <c r="AU15" s="804"/>
      <c r="AV15" s="804"/>
      <c r="AW15" s="804"/>
      <c r="AX15" s="804"/>
      <c r="AY15" s="804"/>
      <c r="AZ15" s="804"/>
      <c r="BA15" s="804"/>
      <c r="BB15" s="804"/>
      <c r="BC15" s="804"/>
      <c r="BD15" s="804"/>
      <c r="BE15" s="804"/>
      <c r="BF15" s="804"/>
      <c r="BG15" s="804"/>
      <c r="BH15" s="804"/>
      <c r="BI15" s="804"/>
      <c r="BJ15" s="804"/>
      <c r="BK15" s="804"/>
      <c r="BL15" s="804"/>
      <c r="BM15" s="804"/>
      <c r="BN15" s="804"/>
      <c r="BO15" s="804"/>
      <c r="BP15" s="804"/>
      <c r="BQ15" s="804"/>
      <c r="BR15" s="804"/>
      <c r="BS15" s="804"/>
      <c r="BT15" s="804"/>
      <c r="BU15" s="804"/>
      <c r="BV15" s="804"/>
      <c r="BW15" s="804"/>
      <c r="BX15" s="804"/>
      <c r="BY15" s="804"/>
      <c r="BZ15" s="804"/>
      <c r="CA15" s="804"/>
      <c r="CB15" s="804"/>
      <c r="CC15" s="804"/>
      <c r="CD15" s="804"/>
      <c r="CE15" s="804"/>
      <c r="CF15" s="804"/>
      <c r="CG15" s="804"/>
      <c r="CH15" s="804"/>
      <c r="CI15" s="804"/>
      <c r="CJ15" s="804"/>
      <c r="CK15" s="804"/>
      <c r="CL15" s="804"/>
      <c r="CM15" s="804"/>
      <c r="CN15" s="796" t="s">
        <v>260</v>
      </c>
      <c r="CO15" s="796"/>
      <c r="CP15" s="796"/>
      <c r="CQ15" s="796"/>
      <c r="CR15" s="796"/>
      <c r="CS15" s="796"/>
      <c r="CT15" s="796"/>
      <c r="CU15" s="796"/>
      <c r="CV15" s="34" t="s">
        <v>235</v>
      </c>
      <c r="CW15" s="35">
        <v>0</v>
      </c>
      <c r="CX15" s="35">
        <v>0</v>
      </c>
      <c r="CY15" s="35">
        <v>0</v>
      </c>
      <c r="CZ15" s="35">
        <v>0</v>
      </c>
    </row>
    <row r="16" spans="1:104" ht="24" customHeight="1">
      <c r="A16" s="793" t="s">
        <v>261</v>
      </c>
      <c r="B16" s="793"/>
      <c r="C16" s="793"/>
      <c r="D16" s="793"/>
      <c r="E16" s="793"/>
      <c r="F16" s="793"/>
      <c r="G16" s="793"/>
      <c r="H16" s="793"/>
      <c r="I16" s="794" t="s">
        <v>253</v>
      </c>
      <c r="J16" s="795"/>
      <c r="K16" s="795"/>
      <c r="L16" s="795"/>
      <c r="M16" s="795"/>
      <c r="N16" s="795"/>
      <c r="O16" s="795"/>
      <c r="P16" s="795"/>
      <c r="Q16" s="795"/>
      <c r="R16" s="795"/>
      <c r="S16" s="795"/>
      <c r="T16" s="795"/>
      <c r="U16" s="795"/>
      <c r="V16" s="795"/>
      <c r="W16" s="795"/>
      <c r="X16" s="795"/>
      <c r="Y16" s="795"/>
      <c r="Z16" s="795"/>
      <c r="AA16" s="795"/>
      <c r="AB16" s="795"/>
      <c r="AC16" s="795"/>
      <c r="AD16" s="795"/>
      <c r="AE16" s="795"/>
      <c r="AF16" s="795"/>
      <c r="AG16" s="795"/>
      <c r="AH16" s="795"/>
      <c r="AI16" s="795"/>
      <c r="AJ16" s="795"/>
      <c r="AK16" s="795"/>
      <c r="AL16" s="795"/>
      <c r="AM16" s="795"/>
      <c r="AN16" s="795"/>
      <c r="AO16" s="795"/>
      <c r="AP16" s="795"/>
      <c r="AQ16" s="795"/>
      <c r="AR16" s="795"/>
      <c r="AS16" s="795"/>
      <c r="AT16" s="795"/>
      <c r="AU16" s="795"/>
      <c r="AV16" s="795"/>
      <c r="AW16" s="795"/>
      <c r="AX16" s="795"/>
      <c r="AY16" s="795"/>
      <c r="AZ16" s="795"/>
      <c r="BA16" s="795"/>
      <c r="BB16" s="795"/>
      <c r="BC16" s="795"/>
      <c r="BD16" s="795"/>
      <c r="BE16" s="795"/>
      <c r="BF16" s="795"/>
      <c r="BG16" s="795"/>
      <c r="BH16" s="795"/>
      <c r="BI16" s="795"/>
      <c r="BJ16" s="795"/>
      <c r="BK16" s="795"/>
      <c r="BL16" s="795"/>
      <c r="BM16" s="795"/>
      <c r="BN16" s="795"/>
      <c r="BO16" s="795"/>
      <c r="BP16" s="795"/>
      <c r="BQ16" s="795"/>
      <c r="BR16" s="795"/>
      <c r="BS16" s="795"/>
      <c r="BT16" s="795"/>
      <c r="BU16" s="795"/>
      <c r="BV16" s="795"/>
      <c r="BW16" s="795"/>
      <c r="BX16" s="795"/>
      <c r="BY16" s="795"/>
      <c r="BZ16" s="795"/>
      <c r="CA16" s="795"/>
      <c r="CB16" s="795"/>
      <c r="CC16" s="795"/>
      <c r="CD16" s="795"/>
      <c r="CE16" s="795"/>
      <c r="CF16" s="795"/>
      <c r="CG16" s="795"/>
      <c r="CH16" s="795"/>
      <c r="CI16" s="795"/>
      <c r="CJ16" s="795"/>
      <c r="CK16" s="795"/>
      <c r="CL16" s="795"/>
      <c r="CM16" s="795"/>
      <c r="CN16" s="796" t="s">
        <v>262</v>
      </c>
      <c r="CO16" s="796"/>
      <c r="CP16" s="796"/>
      <c r="CQ16" s="796"/>
      <c r="CR16" s="796"/>
      <c r="CS16" s="796"/>
      <c r="CT16" s="796"/>
      <c r="CU16" s="796"/>
      <c r="CV16" s="34" t="s">
        <v>235</v>
      </c>
      <c r="CW16" s="35">
        <v>0</v>
      </c>
      <c r="CX16" s="35">
        <v>0</v>
      </c>
      <c r="CY16" s="35">
        <v>0</v>
      </c>
      <c r="CZ16" s="35">
        <v>0</v>
      </c>
    </row>
    <row r="17" spans="1:104" ht="24" customHeight="1">
      <c r="A17" s="793" t="s">
        <v>263</v>
      </c>
      <c r="B17" s="793"/>
      <c r="C17" s="793"/>
      <c r="D17" s="793"/>
      <c r="E17" s="793"/>
      <c r="F17" s="793"/>
      <c r="G17" s="793"/>
      <c r="H17" s="793"/>
      <c r="I17" s="794" t="s">
        <v>256</v>
      </c>
      <c r="J17" s="795"/>
      <c r="K17" s="795"/>
      <c r="L17" s="795"/>
      <c r="M17" s="795"/>
      <c r="N17" s="795"/>
      <c r="O17" s="795"/>
      <c r="P17" s="795"/>
      <c r="Q17" s="795"/>
      <c r="R17" s="795"/>
      <c r="S17" s="795"/>
      <c r="T17" s="795"/>
      <c r="U17" s="795"/>
      <c r="V17" s="795"/>
      <c r="W17" s="795"/>
      <c r="X17" s="795"/>
      <c r="Y17" s="795"/>
      <c r="Z17" s="795"/>
      <c r="AA17" s="795"/>
      <c r="AB17" s="795"/>
      <c r="AC17" s="795"/>
      <c r="AD17" s="795"/>
      <c r="AE17" s="795"/>
      <c r="AF17" s="795"/>
      <c r="AG17" s="795"/>
      <c r="AH17" s="795"/>
      <c r="AI17" s="795"/>
      <c r="AJ17" s="795"/>
      <c r="AK17" s="795"/>
      <c r="AL17" s="795"/>
      <c r="AM17" s="795"/>
      <c r="AN17" s="795"/>
      <c r="AO17" s="795"/>
      <c r="AP17" s="795"/>
      <c r="AQ17" s="795"/>
      <c r="AR17" s="795"/>
      <c r="AS17" s="795"/>
      <c r="AT17" s="795"/>
      <c r="AU17" s="795"/>
      <c r="AV17" s="795"/>
      <c r="AW17" s="795"/>
      <c r="AX17" s="795"/>
      <c r="AY17" s="795"/>
      <c r="AZ17" s="795"/>
      <c r="BA17" s="795"/>
      <c r="BB17" s="795"/>
      <c r="BC17" s="795"/>
      <c r="BD17" s="795"/>
      <c r="BE17" s="795"/>
      <c r="BF17" s="795"/>
      <c r="BG17" s="795"/>
      <c r="BH17" s="795"/>
      <c r="BI17" s="795"/>
      <c r="BJ17" s="795"/>
      <c r="BK17" s="795"/>
      <c r="BL17" s="795"/>
      <c r="BM17" s="795"/>
      <c r="BN17" s="795"/>
      <c r="BO17" s="795"/>
      <c r="BP17" s="795"/>
      <c r="BQ17" s="795"/>
      <c r="BR17" s="795"/>
      <c r="BS17" s="795"/>
      <c r="BT17" s="795"/>
      <c r="BU17" s="795"/>
      <c r="BV17" s="795"/>
      <c r="BW17" s="795"/>
      <c r="BX17" s="795"/>
      <c r="BY17" s="795"/>
      <c r="BZ17" s="795"/>
      <c r="CA17" s="795"/>
      <c r="CB17" s="795"/>
      <c r="CC17" s="795"/>
      <c r="CD17" s="795"/>
      <c r="CE17" s="795"/>
      <c r="CF17" s="795"/>
      <c r="CG17" s="795"/>
      <c r="CH17" s="795"/>
      <c r="CI17" s="795"/>
      <c r="CJ17" s="795"/>
      <c r="CK17" s="795"/>
      <c r="CL17" s="795"/>
      <c r="CM17" s="795"/>
      <c r="CN17" s="796" t="s">
        <v>264</v>
      </c>
      <c r="CO17" s="796"/>
      <c r="CP17" s="796"/>
      <c r="CQ17" s="796"/>
      <c r="CR17" s="796"/>
      <c r="CS17" s="796"/>
      <c r="CT17" s="796"/>
      <c r="CU17" s="796"/>
      <c r="CV17" s="34" t="s">
        <v>235</v>
      </c>
      <c r="CW17" s="35">
        <v>0</v>
      </c>
      <c r="CX17" s="35">
        <v>0</v>
      </c>
      <c r="CY17" s="35">
        <v>0</v>
      </c>
      <c r="CZ17" s="35">
        <v>0</v>
      </c>
    </row>
    <row r="18" spans="1:104" ht="32.25" customHeight="1">
      <c r="A18" s="793" t="s">
        <v>265</v>
      </c>
      <c r="B18" s="793"/>
      <c r="C18" s="793"/>
      <c r="D18" s="793"/>
      <c r="E18" s="793"/>
      <c r="F18" s="793"/>
      <c r="G18" s="793"/>
      <c r="H18" s="793"/>
      <c r="I18" s="794" t="s">
        <v>266</v>
      </c>
      <c r="J18" s="795"/>
      <c r="K18" s="795"/>
      <c r="L18" s="795"/>
      <c r="M18" s="795"/>
      <c r="N18" s="795"/>
      <c r="O18" s="795"/>
      <c r="P18" s="795"/>
      <c r="Q18" s="795"/>
      <c r="R18" s="795"/>
      <c r="S18" s="795"/>
      <c r="T18" s="795"/>
      <c r="U18" s="795"/>
      <c r="V18" s="795"/>
      <c r="W18" s="795"/>
      <c r="X18" s="795"/>
      <c r="Y18" s="795"/>
      <c r="Z18" s="795"/>
      <c r="AA18" s="795"/>
      <c r="AB18" s="795"/>
      <c r="AC18" s="795"/>
      <c r="AD18" s="795"/>
      <c r="AE18" s="795"/>
      <c r="AF18" s="795"/>
      <c r="AG18" s="795"/>
      <c r="AH18" s="795"/>
      <c r="AI18" s="795"/>
      <c r="AJ18" s="795"/>
      <c r="AK18" s="795"/>
      <c r="AL18" s="795"/>
      <c r="AM18" s="795"/>
      <c r="AN18" s="795"/>
      <c r="AO18" s="795"/>
      <c r="AP18" s="795"/>
      <c r="AQ18" s="795"/>
      <c r="AR18" s="795"/>
      <c r="AS18" s="795"/>
      <c r="AT18" s="795"/>
      <c r="AU18" s="795"/>
      <c r="AV18" s="795"/>
      <c r="AW18" s="795"/>
      <c r="AX18" s="795"/>
      <c r="AY18" s="795"/>
      <c r="AZ18" s="795"/>
      <c r="BA18" s="795"/>
      <c r="BB18" s="795"/>
      <c r="BC18" s="795"/>
      <c r="BD18" s="795"/>
      <c r="BE18" s="795"/>
      <c r="BF18" s="795"/>
      <c r="BG18" s="795"/>
      <c r="BH18" s="795"/>
      <c r="BI18" s="795"/>
      <c r="BJ18" s="795"/>
      <c r="BK18" s="795"/>
      <c r="BL18" s="795"/>
      <c r="BM18" s="795"/>
      <c r="BN18" s="795"/>
      <c r="BO18" s="795"/>
      <c r="BP18" s="795"/>
      <c r="BQ18" s="795"/>
      <c r="BR18" s="795"/>
      <c r="BS18" s="795"/>
      <c r="BT18" s="795"/>
      <c r="BU18" s="795"/>
      <c r="BV18" s="795"/>
      <c r="BW18" s="795"/>
      <c r="BX18" s="795"/>
      <c r="BY18" s="795"/>
      <c r="BZ18" s="795"/>
      <c r="CA18" s="795"/>
      <c r="CB18" s="795"/>
      <c r="CC18" s="795"/>
      <c r="CD18" s="795"/>
      <c r="CE18" s="795"/>
      <c r="CF18" s="795"/>
      <c r="CG18" s="795"/>
      <c r="CH18" s="795"/>
      <c r="CI18" s="795"/>
      <c r="CJ18" s="795"/>
      <c r="CK18" s="795"/>
      <c r="CL18" s="795"/>
      <c r="CM18" s="795"/>
      <c r="CN18" s="796" t="s">
        <v>267</v>
      </c>
      <c r="CO18" s="796"/>
      <c r="CP18" s="796"/>
      <c r="CQ18" s="796"/>
      <c r="CR18" s="796"/>
      <c r="CS18" s="796"/>
      <c r="CT18" s="796"/>
      <c r="CU18" s="796"/>
      <c r="CV18" s="34" t="s">
        <v>235</v>
      </c>
      <c r="CW18" s="35">
        <v>0</v>
      </c>
      <c r="CX18" s="35">
        <v>0</v>
      </c>
      <c r="CY18" s="35">
        <v>0</v>
      </c>
      <c r="CZ18" s="35">
        <v>0</v>
      </c>
    </row>
    <row r="19" spans="1:104" ht="24" customHeight="1">
      <c r="A19" s="793" t="s">
        <v>268</v>
      </c>
      <c r="B19" s="793"/>
      <c r="C19" s="793"/>
      <c r="D19" s="793"/>
      <c r="E19" s="793"/>
      <c r="F19" s="793"/>
      <c r="G19" s="793"/>
      <c r="H19" s="793"/>
      <c r="I19" s="794" t="s">
        <v>269</v>
      </c>
      <c r="J19" s="795"/>
      <c r="K19" s="795"/>
      <c r="L19" s="795"/>
      <c r="M19" s="795"/>
      <c r="N19" s="795"/>
      <c r="O19" s="795"/>
      <c r="P19" s="795"/>
      <c r="Q19" s="795"/>
      <c r="R19" s="795"/>
      <c r="S19" s="795"/>
      <c r="T19" s="795"/>
      <c r="U19" s="795"/>
      <c r="V19" s="795"/>
      <c r="W19" s="795"/>
      <c r="X19" s="795"/>
      <c r="Y19" s="795"/>
      <c r="Z19" s="795"/>
      <c r="AA19" s="795"/>
      <c r="AB19" s="795"/>
      <c r="AC19" s="795"/>
      <c r="AD19" s="795"/>
      <c r="AE19" s="795"/>
      <c r="AF19" s="795"/>
      <c r="AG19" s="795"/>
      <c r="AH19" s="795"/>
      <c r="AI19" s="795"/>
      <c r="AJ19" s="795"/>
      <c r="AK19" s="795"/>
      <c r="AL19" s="795"/>
      <c r="AM19" s="795"/>
      <c r="AN19" s="795"/>
      <c r="AO19" s="795"/>
      <c r="AP19" s="795"/>
      <c r="AQ19" s="795"/>
      <c r="AR19" s="795"/>
      <c r="AS19" s="795"/>
      <c r="AT19" s="795"/>
      <c r="AU19" s="795"/>
      <c r="AV19" s="795"/>
      <c r="AW19" s="795"/>
      <c r="AX19" s="795"/>
      <c r="AY19" s="795"/>
      <c r="AZ19" s="795"/>
      <c r="BA19" s="795"/>
      <c r="BB19" s="795"/>
      <c r="BC19" s="795"/>
      <c r="BD19" s="795"/>
      <c r="BE19" s="795"/>
      <c r="BF19" s="795"/>
      <c r="BG19" s="795"/>
      <c r="BH19" s="795"/>
      <c r="BI19" s="795"/>
      <c r="BJ19" s="795"/>
      <c r="BK19" s="795"/>
      <c r="BL19" s="795"/>
      <c r="BM19" s="795"/>
      <c r="BN19" s="795"/>
      <c r="BO19" s="795"/>
      <c r="BP19" s="795"/>
      <c r="BQ19" s="795"/>
      <c r="BR19" s="795"/>
      <c r="BS19" s="795"/>
      <c r="BT19" s="795"/>
      <c r="BU19" s="795"/>
      <c r="BV19" s="795"/>
      <c r="BW19" s="795"/>
      <c r="BX19" s="795"/>
      <c r="BY19" s="795"/>
      <c r="BZ19" s="795"/>
      <c r="CA19" s="795"/>
      <c r="CB19" s="795"/>
      <c r="CC19" s="795"/>
      <c r="CD19" s="795"/>
      <c r="CE19" s="795"/>
      <c r="CF19" s="795"/>
      <c r="CG19" s="795"/>
      <c r="CH19" s="795"/>
      <c r="CI19" s="795"/>
      <c r="CJ19" s="795"/>
      <c r="CK19" s="795"/>
      <c r="CL19" s="795"/>
      <c r="CM19" s="795"/>
      <c r="CN19" s="796" t="s">
        <v>270</v>
      </c>
      <c r="CO19" s="796"/>
      <c r="CP19" s="796"/>
      <c r="CQ19" s="796"/>
      <c r="CR19" s="796"/>
      <c r="CS19" s="796"/>
      <c r="CT19" s="796"/>
      <c r="CU19" s="796"/>
      <c r="CV19" s="34" t="s">
        <v>235</v>
      </c>
      <c r="CW19" s="35">
        <f>CW21</f>
        <v>5594305.8700000001</v>
      </c>
      <c r="CX19" s="35">
        <v>5059979.82</v>
      </c>
      <c r="CY19" s="35">
        <v>4781922.4400000004</v>
      </c>
      <c r="CZ19" s="35">
        <v>0</v>
      </c>
    </row>
    <row r="20" spans="1:104" ht="24" customHeight="1">
      <c r="A20" s="793" t="s">
        <v>271</v>
      </c>
      <c r="B20" s="793"/>
      <c r="C20" s="793"/>
      <c r="D20" s="793"/>
      <c r="E20" s="793"/>
      <c r="F20" s="793"/>
      <c r="G20" s="793"/>
      <c r="H20" s="793"/>
      <c r="I20" s="794" t="s">
        <v>253</v>
      </c>
      <c r="J20" s="795"/>
      <c r="K20" s="795"/>
      <c r="L20" s="795"/>
      <c r="M20" s="795"/>
      <c r="N20" s="795"/>
      <c r="O20" s="795"/>
      <c r="P20" s="795"/>
      <c r="Q20" s="795"/>
      <c r="R20" s="795"/>
      <c r="S20" s="795"/>
      <c r="T20" s="795"/>
      <c r="U20" s="795"/>
      <c r="V20" s="795"/>
      <c r="W20" s="795"/>
      <c r="X20" s="795"/>
      <c r="Y20" s="795"/>
      <c r="Z20" s="795"/>
      <c r="AA20" s="795"/>
      <c r="AB20" s="795"/>
      <c r="AC20" s="795"/>
      <c r="AD20" s="795"/>
      <c r="AE20" s="795"/>
      <c r="AF20" s="795"/>
      <c r="AG20" s="795"/>
      <c r="AH20" s="795"/>
      <c r="AI20" s="795"/>
      <c r="AJ20" s="795"/>
      <c r="AK20" s="795"/>
      <c r="AL20" s="795"/>
      <c r="AM20" s="795"/>
      <c r="AN20" s="795"/>
      <c r="AO20" s="795"/>
      <c r="AP20" s="795"/>
      <c r="AQ20" s="795"/>
      <c r="AR20" s="795"/>
      <c r="AS20" s="795"/>
      <c r="AT20" s="795"/>
      <c r="AU20" s="795"/>
      <c r="AV20" s="795"/>
      <c r="AW20" s="795"/>
      <c r="AX20" s="795"/>
      <c r="AY20" s="795"/>
      <c r="AZ20" s="795"/>
      <c r="BA20" s="795"/>
      <c r="BB20" s="795"/>
      <c r="BC20" s="795"/>
      <c r="BD20" s="795"/>
      <c r="BE20" s="795"/>
      <c r="BF20" s="795"/>
      <c r="BG20" s="795"/>
      <c r="BH20" s="795"/>
      <c r="BI20" s="795"/>
      <c r="BJ20" s="795"/>
      <c r="BK20" s="795"/>
      <c r="BL20" s="795"/>
      <c r="BM20" s="795"/>
      <c r="BN20" s="795"/>
      <c r="BO20" s="795"/>
      <c r="BP20" s="795"/>
      <c r="BQ20" s="795"/>
      <c r="BR20" s="795"/>
      <c r="BS20" s="795"/>
      <c r="BT20" s="795"/>
      <c r="BU20" s="795"/>
      <c r="BV20" s="795"/>
      <c r="BW20" s="795"/>
      <c r="BX20" s="795"/>
      <c r="BY20" s="795"/>
      <c r="BZ20" s="795"/>
      <c r="CA20" s="795"/>
      <c r="CB20" s="795"/>
      <c r="CC20" s="795"/>
      <c r="CD20" s="795"/>
      <c r="CE20" s="795"/>
      <c r="CF20" s="795"/>
      <c r="CG20" s="795"/>
      <c r="CH20" s="795"/>
      <c r="CI20" s="795"/>
      <c r="CJ20" s="795"/>
      <c r="CK20" s="795"/>
      <c r="CL20" s="795"/>
      <c r="CM20" s="795"/>
      <c r="CN20" s="796" t="s">
        <v>272</v>
      </c>
      <c r="CO20" s="796"/>
      <c r="CP20" s="796"/>
      <c r="CQ20" s="796"/>
      <c r="CR20" s="796"/>
      <c r="CS20" s="796"/>
      <c r="CT20" s="796"/>
      <c r="CU20" s="796"/>
      <c r="CV20" s="34" t="s">
        <v>235</v>
      </c>
      <c r="CW20" s="35">
        <v>0</v>
      </c>
      <c r="CX20" s="35">
        <v>0</v>
      </c>
      <c r="CY20" s="35">
        <v>0</v>
      </c>
      <c r="CZ20" s="35">
        <v>0</v>
      </c>
    </row>
    <row r="21" spans="1:104" ht="24" customHeight="1">
      <c r="A21" s="793" t="s">
        <v>273</v>
      </c>
      <c r="B21" s="793"/>
      <c r="C21" s="793"/>
      <c r="D21" s="793"/>
      <c r="E21" s="793"/>
      <c r="F21" s="793"/>
      <c r="G21" s="793"/>
      <c r="H21" s="793"/>
      <c r="I21" s="794" t="s">
        <v>256</v>
      </c>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795"/>
      <c r="AS21" s="795"/>
      <c r="AT21" s="795"/>
      <c r="AU21" s="795"/>
      <c r="AV21" s="795"/>
      <c r="AW21" s="795"/>
      <c r="AX21" s="795"/>
      <c r="AY21" s="795"/>
      <c r="AZ21" s="795"/>
      <c r="BA21" s="795"/>
      <c r="BB21" s="795"/>
      <c r="BC21" s="795"/>
      <c r="BD21" s="795"/>
      <c r="BE21" s="795"/>
      <c r="BF21" s="795"/>
      <c r="BG21" s="795"/>
      <c r="BH21" s="795"/>
      <c r="BI21" s="795"/>
      <c r="BJ21" s="795"/>
      <c r="BK21" s="795"/>
      <c r="BL21" s="795"/>
      <c r="BM21" s="795"/>
      <c r="BN21" s="795"/>
      <c r="BO21" s="795"/>
      <c r="BP21" s="795"/>
      <c r="BQ21" s="795"/>
      <c r="BR21" s="795"/>
      <c r="BS21" s="795"/>
      <c r="BT21" s="795"/>
      <c r="BU21" s="795"/>
      <c r="BV21" s="795"/>
      <c r="BW21" s="795"/>
      <c r="BX21" s="795"/>
      <c r="BY21" s="795"/>
      <c r="BZ21" s="795"/>
      <c r="CA21" s="795"/>
      <c r="CB21" s="795"/>
      <c r="CC21" s="795"/>
      <c r="CD21" s="795"/>
      <c r="CE21" s="795"/>
      <c r="CF21" s="795"/>
      <c r="CG21" s="795"/>
      <c r="CH21" s="795"/>
      <c r="CI21" s="795"/>
      <c r="CJ21" s="795"/>
      <c r="CK21" s="795"/>
      <c r="CL21" s="795"/>
      <c r="CM21" s="795"/>
      <c r="CN21" s="796" t="s">
        <v>274</v>
      </c>
      <c r="CO21" s="796"/>
      <c r="CP21" s="796"/>
      <c r="CQ21" s="796"/>
      <c r="CR21" s="796"/>
      <c r="CS21" s="796"/>
      <c r="CT21" s="796"/>
      <c r="CU21" s="796"/>
      <c r="CV21" s="34" t="s">
        <v>235</v>
      </c>
      <c r="CW21" s="35">
        <f>5356292.98+238012.89</f>
        <v>5594305.8700000001</v>
      </c>
      <c r="CX21" s="35">
        <v>5059979.82</v>
      </c>
      <c r="CY21" s="35">
        <v>4781922.4400000004</v>
      </c>
      <c r="CZ21" s="35">
        <v>0</v>
      </c>
    </row>
    <row r="22" spans="1:104" ht="29.25" customHeight="1">
      <c r="A22" s="798">
        <v>2</v>
      </c>
      <c r="B22" s="798"/>
      <c r="C22" s="798"/>
      <c r="D22" s="798"/>
      <c r="E22" s="798"/>
      <c r="F22" s="798"/>
      <c r="G22" s="798"/>
      <c r="H22" s="798"/>
      <c r="I22" s="799" t="s">
        <v>275</v>
      </c>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0"/>
      <c r="AP22" s="800"/>
      <c r="AQ22" s="800"/>
      <c r="AR22" s="800"/>
      <c r="AS22" s="800"/>
      <c r="AT22" s="800"/>
      <c r="AU22" s="800"/>
      <c r="AV22" s="800"/>
      <c r="AW22" s="800"/>
      <c r="AX22" s="800"/>
      <c r="AY22" s="800"/>
      <c r="AZ22" s="800"/>
      <c r="BA22" s="800"/>
      <c r="BB22" s="800"/>
      <c r="BC22" s="800"/>
      <c r="BD22" s="800"/>
      <c r="BE22" s="800"/>
      <c r="BF22" s="800"/>
      <c r="BG22" s="800"/>
      <c r="BH22" s="800"/>
      <c r="BI22" s="800"/>
      <c r="BJ22" s="800"/>
      <c r="BK22" s="800"/>
      <c r="BL22" s="800"/>
      <c r="BM22" s="800"/>
      <c r="BN22" s="800"/>
      <c r="BO22" s="800"/>
      <c r="BP22" s="800"/>
      <c r="BQ22" s="800"/>
      <c r="BR22" s="800"/>
      <c r="BS22" s="800"/>
      <c r="BT22" s="800"/>
      <c r="BU22" s="800"/>
      <c r="BV22" s="800"/>
      <c r="BW22" s="800"/>
      <c r="BX22" s="800"/>
      <c r="BY22" s="800"/>
      <c r="BZ22" s="800"/>
      <c r="CA22" s="800"/>
      <c r="CB22" s="800"/>
      <c r="CC22" s="800"/>
      <c r="CD22" s="800"/>
      <c r="CE22" s="800"/>
      <c r="CF22" s="800"/>
      <c r="CG22" s="800"/>
      <c r="CH22" s="800"/>
      <c r="CI22" s="800"/>
      <c r="CJ22" s="800"/>
      <c r="CK22" s="800"/>
      <c r="CL22" s="800"/>
      <c r="CM22" s="801"/>
      <c r="CN22" s="802" t="s">
        <v>276</v>
      </c>
      <c r="CO22" s="802"/>
      <c r="CP22" s="802"/>
      <c r="CQ22" s="802"/>
      <c r="CR22" s="802"/>
      <c r="CS22" s="802"/>
      <c r="CT22" s="802"/>
      <c r="CU22" s="802"/>
      <c r="CV22" s="34" t="s">
        <v>277</v>
      </c>
      <c r="CW22" s="35">
        <v>0</v>
      </c>
      <c r="CX22" s="35">
        <v>0</v>
      </c>
      <c r="CY22" s="35">
        <v>0</v>
      </c>
      <c r="CZ22" s="35">
        <v>0</v>
      </c>
    </row>
    <row r="23" spans="1:104" ht="24" customHeight="1">
      <c r="A23" s="793" t="s">
        <v>278</v>
      </c>
      <c r="B23" s="793"/>
      <c r="C23" s="793"/>
      <c r="D23" s="793"/>
      <c r="E23" s="793"/>
      <c r="F23" s="793"/>
      <c r="G23" s="793"/>
      <c r="H23" s="793"/>
      <c r="I23" s="794" t="s">
        <v>279</v>
      </c>
      <c r="J23" s="795"/>
      <c r="K23" s="795"/>
      <c r="L23" s="795"/>
      <c r="M23" s="795"/>
      <c r="N23" s="795"/>
      <c r="O23" s="795"/>
      <c r="P23" s="795"/>
      <c r="Q23" s="795"/>
      <c r="R23" s="795"/>
      <c r="S23" s="795"/>
      <c r="T23" s="795"/>
      <c r="U23" s="795"/>
      <c r="V23" s="795"/>
      <c r="W23" s="795"/>
      <c r="X23" s="795"/>
      <c r="Y23" s="795"/>
      <c r="Z23" s="795"/>
      <c r="AA23" s="795"/>
      <c r="AB23" s="795"/>
      <c r="AC23" s="795"/>
      <c r="AD23" s="795"/>
      <c r="AE23" s="795"/>
      <c r="AF23" s="795"/>
      <c r="AG23" s="795"/>
      <c r="AH23" s="795"/>
      <c r="AI23" s="795"/>
      <c r="AJ23" s="795"/>
      <c r="AK23" s="795"/>
      <c r="AL23" s="795"/>
      <c r="AM23" s="795"/>
      <c r="AN23" s="795"/>
      <c r="AO23" s="795"/>
      <c r="AP23" s="795"/>
      <c r="AQ23" s="795"/>
      <c r="AR23" s="795"/>
      <c r="AS23" s="795"/>
      <c r="AT23" s="795"/>
      <c r="AU23" s="795"/>
      <c r="AV23" s="795"/>
      <c r="AW23" s="795"/>
      <c r="AX23" s="795"/>
      <c r="AY23" s="795"/>
      <c r="AZ23" s="795"/>
      <c r="BA23" s="795"/>
      <c r="BB23" s="795"/>
      <c r="BC23" s="795"/>
      <c r="BD23" s="795"/>
      <c r="BE23" s="795"/>
      <c r="BF23" s="795"/>
      <c r="BG23" s="795"/>
      <c r="BH23" s="795"/>
      <c r="BI23" s="795"/>
      <c r="BJ23" s="795"/>
      <c r="BK23" s="795"/>
      <c r="BL23" s="795"/>
      <c r="BM23" s="795"/>
      <c r="BN23" s="795"/>
      <c r="BO23" s="795"/>
      <c r="BP23" s="795"/>
      <c r="BQ23" s="795"/>
      <c r="BR23" s="795"/>
      <c r="BS23" s="795"/>
      <c r="BT23" s="795"/>
      <c r="BU23" s="795"/>
      <c r="BV23" s="795"/>
      <c r="BW23" s="795"/>
      <c r="BX23" s="795"/>
      <c r="BY23" s="795"/>
      <c r="BZ23" s="795"/>
      <c r="CA23" s="795"/>
      <c r="CB23" s="795"/>
      <c r="CC23" s="795"/>
      <c r="CD23" s="795"/>
      <c r="CE23" s="795"/>
      <c r="CF23" s="795"/>
      <c r="CG23" s="795"/>
      <c r="CH23" s="795"/>
      <c r="CI23" s="795"/>
      <c r="CJ23" s="795"/>
      <c r="CK23" s="795"/>
      <c r="CL23" s="795"/>
      <c r="CM23" s="795"/>
      <c r="CN23" s="796" t="s">
        <v>280</v>
      </c>
      <c r="CO23" s="796"/>
      <c r="CP23" s="796"/>
      <c r="CQ23" s="796"/>
      <c r="CR23" s="796"/>
      <c r="CS23" s="796"/>
      <c r="CT23" s="796"/>
      <c r="CU23" s="796"/>
      <c r="CV23" s="34" t="s">
        <v>235</v>
      </c>
      <c r="CW23" s="35">
        <v>0</v>
      </c>
      <c r="CX23" s="35">
        <v>0</v>
      </c>
      <c r="CY23" s="35">
        <v>0</v>
      </c>
      <c r="CZ23" s="35">
        <v>0</v>
      </c>
    </row>
    <row r="24" spans="1:104" ht="24" customHeight="1">
      <c r="A24" s="793" t="s">
        <v>281</v>
      </c>
      <c r="B24" s="793"/>
      <c r="C24" s="793"/>
      <c r="D24" s="793"/>
      <c r="E24" s="793"/>
      <c r="F24" s="793"/>
      <c r="G24" s="793"/>
      <c r="H24" s="793"/>
      <c r="I24" s="794" t="s">
        <v>279</v>
      </c>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795"/>
      <c r="BA24" s="795"/>
      <c r="BB24" s="795"/>
      <c r="BC24" s="795"/>
      <c r="BD24" s="795"/>
      <c r="BE24" s="795"/>
      <c r="BF24" s="795"/>
      <c r="BG24" s="795"/>
      <c r="BH24" s="795"/>
      <c r="BI24" s="795"/>
      <c r="BJ24" s="795"/>
      <c r="BK24" s="795"/>
      <c r="BL24" s="795"/>
      <c r="BM24" s="795"/>
      <c r="BN24" s="795"/>
      <c r="BO24" s="795"/>
      <c r="BP24" s="795"/>
      <c r="BQ24" s="795"/>
      <c r="BR24" s="795"/>
      <c r="BS24" s="795"/>
      <c r="BT24" s="795"/>
      <c r="BU24" s="795"/>
      <c r="BV24" s="795"/>
      <c r="BW24" s="795"/>
      <c r="BX24" s="795"/>
      <c r="BY24" s="795"/>
      <c r="BZ24" s="795"/>
      <c r="CA24" s="795"/>
      <c r="CB24" s="795"/>
      <c r="CC24" s="795"/>
      <c r="CD24" s="795"/>
      <c r="CE24" s="795"/>
      <c r="CF24" s="795"/>
      <c r="CG24" s="795"/>
      <c r="CH24" s="795"/>
      <c r="CI24" s="795"/>
      <c r="CJ24" s="795"/>
      <c r="CK24" s="795"/>
      <c r="CL24" s="795"/>
      <c r="CM24" s="795"/>
      <c r="CN24" s="796" t="s">
        <v>280</v>
      </c>
      <c r="CO24" s="796"/>
      <c r="CP24" s="796"/>
      <c r="CQ24" s="796"/>
      <c r="CR24" s="796"/>
      <c r="CS24" s="796"/>
      <c r="CT24" s="796"/>
      <c r="CU24" s="796"/>
      <c r="CV24" s="34" t="s">
        <v>282</v>
      </c>
      <c r="CW24" s="35">
        <v>0</v>
      </c>
      <c r="CX24" s="35">
        <v>0</v>
      </c>
      <c r="CY24" s="35">
        <v>0</v>
      </c>
      <c r="CZ24" s="35">
        <v>0</v>
      </c>
    </row>
    <row r="25" spans="1:104" ht="24" customHeight="1">
      <c r="A25" s="793" t="s">
        <v>283</v>
      </c>
      <c r="B25" s="793"/>
      <c r="C25" s="793"/>
      <c r="D25" s="793"/>
      <c r="E25" s="793"/>
      <c r="F25" s="793"/>
      <c r="G25" s="793"/>
      <c r="H25" s="793"/>
      <c r="I25" s="794" t="s">
        <v>279</v>
      </c>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795"/>
      <c r="BK25" s="795"/>
      <c r="BL25" s="795"/>
      <c r="BM25" s="795"/>
      <c r="BN25" s="795"/>
      <c r="BO25" s="795"/>
      <c r="BP25" s="795"/>
      <c r="BQ25" s="795"/>
      <c r="BR25" s="795"/>
      <c r="BS25" s="795"/>
      <c r="BT25" s="795"/>
      <c r="BU25" s="795"/>
      <c r="BV25" s="795"/>
      <c r="BW25" s="795"/>
      <c r="BX25" s="795"/>
      <c r="BY25" s="795"/>
      <c r="BZ25" s="795"/>
      <c r="CA25" s="795"/>
      <c r="CB25" s="795"/>
      <c r="CC25" s="795"/>
      <c r="CD25" s="795"/>
      <c r="CE25" s="795"/>
      <c r="CF25" s="795"/>
      <c r="CG25" s="795"/>
      <c r="CH25" s="795"/>
      <c r="CI25" s="795"/>
      <c r="CJ25" s="795"/>
      <c r="CK25" s="795"/>
      <c r="CL25" s="795"/>
      <c r="CM25" s="795"/>
      <c r="CN25" s="796" t="s">
        <v>280</v>
      </c>
      <c r="CO25" s="796"/>
      <c r="CP25" s="796"/>
      <c r="CQ25" s="796"/>
      <c r="CR25" s="796"/>
      <c r="CS25" s="796"/>
      <c r="CT25" s="796"/>
      <c r="CU25" s="796"/>
      <c r="CV25" s="34" t="s">
        <v>284</v>
      </c>
      <c r="CW25" s="35">
        <v>0</v>
      </c>
      <c r="CX25" s="35">
        <v>0</v>
      </c>
      <c r="CY25" s="35">
        <v>0</v>
      </c>
      <c r="CZ25" s="35">
        <v>0</v>
      </c>
    </row>
    <row r="26" spans="1:104" ht="27" customHeight="1">
      <c r="A26" s="798">
        <v>3</v>
      </c>
      <c r="B26" s="798"/>
      <c r="C26" s="798"/>
      <c r="D26" s="798"/>
      <c r="E26" s="798"/>
      <c r="F26" s="798"/>
      <c r="G26" s="798"/>
      <c r="H26" s="798"/>
      <c r="I26" s="799" t="s">
        <v>285</v>
      </c>
      <c r="J26" s="800"/>
      <c r="K26" s="800"/>
      <c r="L26" s="800"/>
      <c r="M26" s="800"/>
      <c r="N26" s="800"/>
      <c r="O26" s="800"/>
      <c r="P26" s="800"/>
      <c r="Q26" s="800"/>
      <c r="R26" s="800"/>
      <c r="S26" s="800"/>
      <c r="T26" s="800"/>
      <c r="U26" s="800"/>
      <c r="V26" s="800"/>
      <c r="W26" s="800"/>
      <c r="X26" s="800"/>
      <c r="Y26" s="800"/>
      <c r="Z26" s="800"/>
      <c r="AA26" s="800"/>
      <c r="AB26" s="800"/>
      <c r="AC26" s="800"/>
      <c r="AD26" s="800"/>
      <c r="AE26" s="800"/>
      <c r="AF26" s="800"/>
      <c r="AG26" s="800"/>
      <c r="AH26" s="800"/>
      <c r="AI26" s="800"/>
      <c r="AJ26" s="800"/>
      <c r="AK26" s="800"/>
      <c r="AL26" s="800"/>
      <c r="AM26" s="800"/>
      <c r="AN26" s="800"/>
      <c r="AO26" s="800"/>
      <c r="AP26" s="800"/>
      <c r="AQ26" s="800"/>
      <c r="AR26" s="800"/>
      <c r="AS26" s="800"/>
      <c r="AT26" s="800"/>
      <c r="AU26" s="800"/>
      <c r="AV26" s="800"/>
      <c r="AW26" s="800"/>
      <c r="AX26" s="800"/>
      <c r="AY26" s="800"/>
      <c r="AZ26" s="800"/>
      <c r="BA26" s="800"/>
      <c r="BB26" s="800"/>
      <c r="BC26" s="800"/>
      <c r="BD26" s="800"/>
      <c r="BE26" s="800"/>
      <c r="BF26" s="800"/>
      <c r="BG26" s="800"/>
      <c r="BH26" s="800"/>
      <c r="BI26" s="800"/>
      <c r="BJ26" s="800"/>
      <c r="BK26" s="800"/>
      <c r="BL26" s="800"/>
      <c r="BM26" s="800"/>
      <c r="BN26" s="800"/>
      <c r="BO26" s="800"/>
      <c r="BP26" s="800"/>
      <c r="BQ26" s="800"/>
      <c r="BR26" s="800"/>
      <c r="BS26" s="800"/>
      <c r="BT26" s="800"/>
      <c r="BU26" s="800"/>
      <c r="BV26" s="800"/>
      <c r="BW26" s="800"/>
      <c r="BX26" s="800"/>
      <c r="BY26" s="800"/>
      <c r="BZ26" s="800"/>
      <c r="CA26" s="800"/>
      <c r="CB26" s="800"/>
      <c r="CC26" s="800"/>
      <c r="CD26" s="800"/>
      <c r="CE26" s="800"/>
      <c r="CF26" s="800"/>
      <c r="CG26" s="800"/>
      <c r="CH26" s="800"/>
      <c r="CI26" s="800"/>
      <c r="CJ26" s="800"/>
      <c r="CK26" s="800"/>
      <c r="CL26" s="800"/>
      <c r="CM26" s="801"/>
      <c r="CN26" s="802" t="s">
        <v>286</v>
      </c>
      <c r="CO26" s="802"/>
      <c r="CP26" s="802"/>
      <c r="CQ26" s="802"/>
      <c r="CR26" s="802"/>
      <c r="CS26" s="802"/>
      <c r="CT26" s="802"/>
      <c r="CU26" s="802"/>
      <c r="CV26" s="34" t="s">
        <v>277</v>
      </c>
      <c r="CW26" s="35">
        <v>0</v>
      </c>
      <c r="CX26" s="35">
        <v>0</v>
      </c>
      <c r="CY26" s="35">
        <v>0</v>
      </c>
      <c r="CZ26" s="35">
        <v>0</v>
      </c>
    </row>
    <row r="27" spans="1:104" ht="24" customHeight="1">
      <c r="A27" s="793" t="s">
        <v>287</v>
      </c>
      <c r="B27" s="793"/>
      <c r="C27" s="793"/>
      <c r="D27" s="793"/>
      <c r="E27" s="793"/>
      <c r="F27" s="793"/>
      <c r="G27" s="793"/>
      <c r="H27" s="793"/>
      <c r="I27" s="794" t="s">
        <v>279</v>
      </c>
      <c r="J27" s="795"/>
      <c r="K27" s="795"/>
      <c r="L27" s="795"/>
      <c r="M27" s="795"/>
      <c r="N27" s="795"/>
      <c r="O27" s="795"/>
      <c r="P27" s="795"/>
      <c r="Q27" s="795"/>
      <c r="R27" s="795"/>
      <c r="S27" s="795"/>
      <c r="T27" s="795"/>
      <c r="U27" s="795"/>
      <c r="V27" s="795"/>
      <c r="W27" s="795"/>
      <c r="X27" s="795"/>
      <c r="Y27" s="795"/>
      <c r="Z27" s="795"/>
      <c r="AA27" s="795"/>
      <c r="AB27" s="795"/>
      <c r="AC27" s="795"/>
      <c r="AD27" s="795"/>
      <c r="AE27" s="795"/>
      <c r="AF27" s="795"/>
      <c r="AG27" s="795"/>
      <c r="AH27" s="795"/>
      <c r="AI27" s="795"/>
      <c r="AJ27" s="795"/>
      <c r="AK27" s="795"/>
      <c r="AL27" s="795"/>
      <c r="AM27" s="795"/>
      <c r="AN27" s="795"/>
      <c r="AO27" s="795"/>
      <c r="AP27" s="795"/>
      <c r="AQ27" s="795"/>
      <c r="AR27" s="795"/>
      <c r="AS27" s="795"/>
      <c r="AT27" s="795"/>
      <c r="AU27" s="795"/>
      <c r="AV27" s="795"/>
      <c r="AW27" s="795"/>
      <c r="AX27" s="795"/>
      <c r="AY27" s="795"/>
      <c r="AZ27" s="795"/>
      <c r="BA27" s="795"/>
      <c r="BB27" s="795"/>
      <c r="BC27" s="795"/>
      <c r="BD27" s="795"/>
      <c r="BE27" s="795"/>
      <c r="BF27" s="795"/>
      <c r="BG27" s="795"/>
      <c r="BH27" s="795"/>
      <c r="BI27" s="795"/>
      <c r="BJ27" s="795"/>
      <c r="BK27" s="795"/>
      <c r="BL27" s="795"/>
      <c r="BM27" s="795"/>
      <c r="BN27" s="795"/>
      <c r="BO27" s="795"/>
      <c r="BP27" s="795"/>
      <c r="BQ27" s="795"/>
      <c r="BR27" s="795"/>
      <c r="BS27" s="795"/>
      <c r="BT27" s="795"/>
      <c r="BU27" s="795"/>
      <c r="BV27" s="795"/>
      <c r="BW27" s="795"/>
      <c r="BX27" s="795"/>
      <c r="BY27" s="795"/>
      <c r="BZ27" s="795"/>
      <c r="CA27" s="795"/>
      <c r="CB27" s="795"/>
      <c r="CC27" s="795"/>
      <c r="CD27" s="795"/>
      <c r="CE27" s="795"/>
      <c r="CF27" s="795"/>
      <c r="CG27" s="795"/>
      <c r="CH27" s="795"/>
      <c r="CI27" s="795"/>
      <c r="CJ27" s="795"/>
      <c r="CK27" s="795"/>
      <c r="CL27" s="795"/>
      <c r="CM27" s="795"/>
      <c r="CN27" s="796" t="s">
        <v>288</v>
      </c>
      <c r="CO27" s="796"/>
      <c r="CP27" s="796"/>
      <c r="CQ27" s="796"/>
      <c r="CR27" s="796"/>
      <c r="CS27" s="796"/>
      <c r="CT27" s="796"/>
      <c r="CU27" s="796"/>
      <c r="CV27" s="34" t="s">
        <v>235</v>
      </c>
      <c r="CW27" s="35">
        <v>0</v>
      </c>
      <c r="CX27" s="35">
        <v>0</v>
      </c>
      <c r="CY27" s="35">
        <v>0</v>
      </c>
      <c r="CZ27" s="35">
        <v>0</v>
      </c>
    </row>
    <row r="28" spans="1:104" ht="24" customHeight="1">
      <c r="A28" s="793" t="s">
        <v>289</v>
      </c>
      <c r="B28" s="793"/>
      <c r="C28" s="793"/>
      <c r="D28" s="793"/>
      <c r="E28" s="793"/>
      <c r="F28" s="793"/>
      <c r="G28" s="793"/>
      <c r="H28" s="793"/>
      <c r="I28" s="794" t="s">
        <v>279</v>
      </c>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5"/>
      <c r="AP28" s="795"/>
      <c r="AQ28" s="795"/>
      <c r="AR28" s="795"/>
      <c r="AS28" s="795"/>
      <c r="AT28" s="795"/>
      <c r="AU28" s="795"/>
      <c r="AV28" s="795"/>
      <c r="AW28" s="795"/>
      <c r="AX28" s="795"/>
      <c r="AY28" s="795"/>
      <c r="AZ28" s="795"/>
      <c r="BA28" s="795"/>
      <c r="BB28" s="795"/>
      <c r="BC28" s="795"/>
      <c r="BD28" s="795"/>
      <c r="BE28" s="795"/>
      <c r="BF28" s="795"/>
      <c r="BG28" s="795"/>
      <c r="BH28" s="795"/>
      <c r="BI28" s="795"/>
      <c r="BJ28" s="795"/>
      <c r="BK28" s="795"/>
      <c r="BL28" s="795"/>
      <c r="BM28" s="795"/>
      <c r="BN28" s="795"/>
      <c r="BO28" s="795"/>
      <c r="BP28" s="795"/>
      <c r="BQ28" s="795"/>
      <c r="BR28" s="795"/>
      <c r="BS28" s="795"/>
      <c r="BT28" s="795"/>
      <c r="BU28" s="795"/>
      <c r="BV28" s="795"/>
      <c r="BW28" s="795"/>
      <c r="BX28" s="795"/>
      <c r="BY28" s="795"/>
      <c r="BZ28" s="795"/>
      <c r="CA28" s="795"/>
      <c r="CB28" s="795"/>
      <c r="CC28" s="795"/>
      <c r="CD28" s="795"/>
      <c r="CE28" s="795"/>
      <c r="CF28" s="795"/>
      <c r="CG28" s="795"/>
      <c r="CH28" s="795"/>
      <c r="CI28" s="795"/>
      <c r="CJ28" s="795"/>
      <c r="CK28" s="795"/>
      <c r="CL28" s="795"/>
      <c r="CM28" s="795"/>
      <c r="CN28" s="796" t="s">
        <v>288</v>
      </c>
      <c r="CO28" s="796"/>
      <c r="CP28" s="796"/>
      <c r="CQ28" s="796"/>
      <c r="CR28" s="796"/>
      <c r="CS28" s="796"/>
      <c r="CT28" s="796"/>
      <c r="CU28" s="796"/>
      <c r="CV28" s="34" t="s">
        <v>282</v>
      </c>
      <c r="CW28" s="35">
        <v>0</v>
      </c>
      <c r="CX28" s="35">
        <v>0</v>
      </c>
      <c r="CY28" s="35">
        <v>0</v>
      </c>
      <c r="CZ28" s="35">
        <v>0</v>
      </c>
    </row>
    <row r="29" spans="1:104" ht="24" customHeight="1">
      <c r="A29" s="793" t="s">
        <v>290</v>
      </c>
      <c r="B29" s="793"/>
      <c r="C29" s="793"/>
      <c r="D29" s="793"/>
      <c r="E29" s="793"/>
      <c r="F29" s="793"/>
      <c r="G29" s="793"/>
      <c r="H29" s="793"/>
      <c r="I29" s="794" t="s">
        <v>279</v>
      </c>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5"/>
      <c r="AY29" s="795"/>
      <c r="AZ29" s="795"/>
      <c r="BA29" s="795"/>
      <c r="BB29" s="795"/>
      <c r="BC29" s="795"/>
      <c r="BD29" s="795"/>
      <c r="BE29" s="795"/>
      <c r="BF29" s="795"/>
      <c r="BG29" s="795"/>
      <c r="BH29" s="795"/>
      <c r="BI29" s="795"/>
      <c r="BJ29" s="795"/>
      <c r="BK29" s="795"/>
      <c r="BL29" s="795"/>
      <c r="BM29" s="795"/>
      <c r="BN29" s="795"/>
      <c r="BO29" s="795"/>
      <c r="BP29" s="795"/>
      <c r="BQ29" s="795"/>
      <c r="BR29" s="795"/>
      <c r="BS29" s="795"/>
      <c r="BT29" s="795"/>
      <c r="BU29" s="795"/>
      <c r="BV29" s="795"/>
      <c r="BW29" s="795"/>
      <c r="BX29" s="795"/>
      <c r="BY29" s="795"/>
      <c r="BZ29" s="795"/>
      <c r="CA29" s="795"/>
      <c r="CB29" s="795"/>
      <c r="CC29" s="795"/>
      <c r="CD29" s="795"/>
      <c r="CE29" s="795"/>
      <c r="CF29" s="795"/>
      <c r="CG29" s="795"/>
      <c r="CH29" s="795"/>
      <c r="CI29" s="795"/>
      <c r="CJ29" s="795"/>
      <c r="CK29" s="795"/>
      <c r="CL29" s="795"/>
      <c r="CM29" s="795"/>
      <c r="CN29" s="796" t="s">
        <v>288</v>
      </c>
      <c r="CO29" s="796"/>
      <c r="CP29" s="796"/>
      <c r="CQ29" s="796"/>
      <c r="CR29" s="796"/>
      <c r="CS29" s="796"/>
      <c r="CT29" s="796"/>
      <c r="CU29" s="796"/>
      <c r="CV29" s="34" t="s">
        <v>284</v>
      </c>
      <c r="CW29" s="35">
        <v>0</v>
      </c>
      <c r="CX29" s="35">
        <v>0</v>
      </c>
      <c r="CY29" s="35">
        <v>0</v>
      </c>
      <c r="CZ29" s="35">
        <v>0</v>
      </c>
    </row>
    <row r="30" spans="1:104" ht="15"/>
    <row r="31" spans="1:104" ht="27.75" customHeight="1">
      <c r="A31" s="75"/>
      <c r="B31" s="75"/>
      <c r="C31" s="75"/>
      <c r="D31" s="75"/>
      <c r="E31" s="75"/>
      <c r="F31" s="75"/>
      <c r="G31" s="75"/>
      <c r="H31" s="75"/>
      <c r="I31" s="67" t="s">
        <v>291</v>
      </c>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97" t="s">
        <v>179</v>
      </c>
      <c r="AN31" s="797"/>
      <c r="AO31" s="797"/>
      <c r="AP31" s="797"/>
      <c r="AQ31" s="797"/>
      <c r="AR31" s="797"/>
      <c r="AS31" s="797"/>
      <c r="AT31" s="797"/>
      <c r="AU31" s="797"/>
      <c r="AV31" s="797"/>
      <c r="AW31" s="797"/>
      <c r="AX31" s="797"/>
      <c r="AY31" s="797"/>
      <c r="AZ31" s="797"/>
      <c r="BA31" s="797"/>
      <c r="BB31" s="797"/>
      <c r="BC31" s="797"/>
      <c r="BD31" s="797"/>
      <c r="BE31" s="75"/>
      <c r="BF31" s="75"/>
      <c r="BG31" s="797" t="s">
        <v>292</v>
      </c>
      <c r="BH31" s="797"/>
      <c r="BI31" s="797"/>
      <c r="BJ31" s="797"/>
      <c r="BK31" s="797"/>
      <c r="BL31" s="797"/>
      <c r="BM31" s="797"/>
      <c r="BN31" s="797"/>
      <c r="BO31" s="797"/>
      <c r="BP31" s="797"/>
      <c r="BQ31" s="797"/>
      <c r="BR31" s="797"/>
      <c r="BS31" s="797"/>
      <c r="BT31" s="797"/>
      <c r="BU31" s="797"/>
      <c r="BV31" s="797"/>
      <c r="BW31" s="797"/>
      <c r="BX31" s="797"/>
      <c r="BY31" s="75"/>
      <c r="BZ31" s="75"/>
      <c r="CA31" s="789" t="s">
        <v>293</v>
      </c>
      <c r="CB31" s="789"/>
      <c r="CC31" s="789"/>
      <c r="CD31" s="789"/>
      <c r="CE31" s="789"/>
      <c r="CF31" s="789"/>
      <c r="CG31" s="789"/>
      <c r="CH31" s="789"/>
      <c r="CI31" s="789"/>
      <c r="CJ31" s="789"/>
      <c r="CK31" s="789"/>
      <c r="CL31" s="789"/>
      <c r="CM31" s="789"/>
      <c r="CN31" s="789"/>
      <c r="CO31" s="789"/>
      <c r="CP31" s="789"/>
      <c r="CQ31" s="789"/>
      <c r="CR31" s="789"/>
    </row>
    <row r="32" spans="1:104" ht="11.2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81" t="s">
        <v>294</v>
      </c>
      <c r="AN32" s="781"/>
      <c r="AO32" s="781"/>
      <c r="AP32" s="781"/>
      <c r="AQ32" s="781"/>
      <c r="AR32" s="781"/>
      <c r="AS32" s="781"/>
      <c r="AT32" s="781"/>
      <c r="AU32" s="781"/>
      <c r="AV32" s="781"/>
      <c r="AW32" s="781"/>
      <c r="AX32" s="781"/>
      <c r="AY32" s="781"/>
      <c r="AZ32" s="781"/>
      <c r="BA32" s="781"/>
      <c r="BB32" s="781"/>
      <c r="BC32" s="781"/>
      <c r="BD32" s="781"/>
      <c r="BE32" s="75"/>
      <c r="BF32" s="75"/>
      <c r="BG32" s="781" t="s">
        <v>295</v>
      </c>
      <c r="BH32" s="781"/>
      <c r="BI32" s="781"/>
      <c r="BJ32" s="781"/>
      <c r="BK32" s="781"/>
      <c r="BL32" s="781"/>
      <c r="BM32" s="781"/>
      <c r="BN32" s="781"/>
      <c r="BO32" s="781"/>
      <c r="BP32" s="781"/>
      <c r="BQ32" s="781"/>
      <c r="BR32" s="781"/>
      <c r="BS32" s="781"/>
      <c r="BT32" s="781"/>
      <c r="BU32" s="781"/>
      <c r="BV32" s="781"/>
      <c r="BW32" s="781"/>
      <c r="BX32" s="781"/>
      <c r="BY32" s="75"/>
      <c r="BZ32" s="75"/>
      <c r="CA32" s="781" t="s">
        <v>296</v>
      </c>
      <c r="CB32" s="781"/>
      <c r="CC32" s="781"/>
      <c r="CD32" s="781"/>
      <c r="CE32" s="781"/>
      <c r="CF32" s="781"/>
      <c r="CG32" s="781"/>
      <c r="CH32" s="781"/>
      <c r="CI32" s="781"/>
      <c r="CJ32" s="781"/>
      <c r="CK32" s="781"/>
      <c r="CL32" s="781"/>
      <c r="CM32" s="781"/>
      <c r="CN32" s="781"/>
      <c r="CO32" s="781"/>
      <c r="CP32" s="781"/>
      <c r="CQ32" s="781"/>
      <c r="CR32" s="781"/>
    </row>
    <row r="33" spans="1:96" ht="3" customHeight="1">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6"/>
      <c r="AN33" s="76"/>
      <c r="AO33" s="76"/>
      <c r="AP33" s="76"/>
      <c r="AQ33" s="76"/>
      <c r="AR33" s="76"/>
      <c r="AS33" s="76"/>
      <c r="AT33" s="76"/>
      <c r="AU33" s="76"/>
      <c r="AV33" s="76"/>
      <c r="AW33" s="76"/>
      <c r="AX33" s="76"/>
      <c r="AY33" s="76"/>
      <c r="AZ33" s="76"/>
      <c r="BA33" s="76"/>
      <c r="BB33" s="76"/>
      <c r="BC33" s="76"/>
      <c r="BD33" s="76"/>
      <c r="BE33" s="75"/>
      <c r="BF33" s="75"/>
      <c r="BG33" s="76"/>
      <c r="BH33" s="76"/>
      <c r="BI33" s="76"/>
      <c r="BJ33" s="76"/>
      <c r="BK33" s="76"/>
      <c r="BL33" s="76"/>
      <c r="BM33" s="76"/>
      <c r="BN33" s="76"/>
      <c r="BO33" s="76"/>
      <c r="BP33" s="76"/>
      <c r="BQ33" s="76"/>
      <c r="BR33" s="76"/>
      <c r="BS33" s="76"/>
      <c r="BT33" s="76"/>
      <c r="BU33" s="76"/>
      <c r="BV33" s="76"/>
      <c r="BW33" s="76"/>
      <c r="BX33" s="76"/>
      <c r="BY33" s="75"/>
      <c r="BZ33" s="75"/>
      <c r="CA33" s="76"/>
      <c r="CB33" s="76"/>
      <c r="CC33" s="76"/>
      <c r="CD33" s="76"/>
      <c r="CE33" s="76"/>
      <c r="CF33" s="76"/>
      <c r="CG33" s="76"/>
      <c r="CH33" s="76"/>
      <c r="CI33" s="76"/>
      <c r="CJ33" s="76"/>
      <c r="CK33" s="76"/>
      <c r="CL33" s="76"/>
      <c r="CM33" s="76"/>
      <c r="CN33" s="76"/>
      <c r="CO33" s="76"/>
      <c r="CP33" s="76"/>
      <c r="CQ33" s="76"/>
      <c r="CR33" s="76"/>
    </row>
    <row r="34" spans="1:96" ht="13.15" customHeight="1">
      <c r="A34" s="75"/>
      <c r="B34" s="75"/>
      <c r="C34" s="75"/>
      <c r="D34" s="75"/>
      <c r="E34" s="75"/>
      <c r="F34" s="75"/>
      <c r="G34" s="75"/>
      <c r="H34" s="75"/>
      <c r="I34" s="788" t="s">
        <v>297</v>
      </c>
      <c r="J34" s="788"/>
      <c r="K34" s="789" t="s">
        <v>298</v>
      </c>
      <c r="L34" s="789"/>
      <c r="M34" s="789"/>
      <c r="N34" s="790" t="s">
        <v>297</v>
      </c>
      <c r="O34" s="790"/>
      <c r="P34" s="75"/>
      <c r="Q34" s="789" t="s">
        <v>299</v>
      </c>
      <c r="R34" s="789"/>
      <c r="S34" s="789"/>
      <c r="T34" s="789"/>
      <c r="U34" s="789"/>
      <c r="V34" s="789"/>
      <c r="W34" s="789"/>
      <c r="X34" s="789"/>
      <c r="Y34" s="789"/>
      <c r="Z34" s="789"/>
      <c r="AA34" s="789"/>
      <c r="AB34" s="789"/>
      <c r="AC34" s="789"/>
      <c r="AD34" s="789"/>
      <c r="AE34" s="789"/>
      <c r="AF34" s="65"/>
      <c r="AG34" s="791" t="s">
        <v>235</v>
      </c>
      <c r="AH34" s="792"/>
      <c r="AI34" s="792"/>
      <c r="AJ34" s="792"/>
      <c r="AK34" s="792"/>
      <c r="AL34" s="67" t="s">
        <v>300</v>
      </c>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row>
    <row r="35" spans="1:96" ht="10.9" customHeight="1">
      <c r="A35" s="7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row>
    <row r="36" spans="1:96" ht="3" customHeight="1">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8"/>
      <c r="CN36" s="75"/>
      <c r="CO36" s="75"/>
      <c r="CP36" s="75"/>
      <c r="CQ36" s="75"/>
      <c r="CR36" s="75"/>
    </row>
    <row r="37" spans="1:96" ht="20.25" customHeight="1">
      <c r="A37" s="79" t="s">
        <v>301</v>
      </c>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1"/>
      <c r="CN37" s="75"/>
      <c r="CO37" s="75"/>
      <c r="CP37" s="75"/>
      <c r="CQ37" s="75"/>
      <c r="CR37" s="75"/>
    </row>
    <row r="38" spans="1:96" ht="27.75" customHeight="1">
      <c r="A38" s="777" t="s">
        <v>302</v>
      </c>
      <c r="B38" s="778"/>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c r="AG38" s="778"/>
      <c r="AH38" s="778"/>
      <c r="AI38" s="778"/>
      <c r="AJ38" s="778"/>
      <c r="AK38" s="778"/>
      <c r="AL38" s="778"/>
      <c r="AM38" s="778"/>
      <c r="AN38" s="778"/>
      <c r="AO38" s="778"/>
      <c r="AP38" s="778"/>
      <c r="AQ38" s="778"/>
      <c r="AR38" s="778"/>
      <c r="AS38" s="778"/>
      <c r="AT38" s="778"/>
      <c r="AU38" s="778"/>
      <c r="AV38" s="778"/>
      <c r="AW38" s="778"/>
      <c r="AX38" s="778"/>
      <c r="AY38" s="778"/>
      <c r="AZ38" s="778"/>
      <c r="BA38" s="778"/>
      <c r="BB38" s="778"/>
      <c r="BC38" s="778"/>
      <c r="BD38" s="778"/>
      <c r="BE38" s="778"/>
      <c r="BF38" s="778"/>
      <c r="BG38" s="778"/>
      <c r="BH38" s="778"/>
      <c r="BI38" s="778"/>
      <c r="BJ38" s="778"/>
      <c r="BK38" s="778"/>
      <c r="BL38" s="778"/>
      <c r="BM38" s="778"/>
      <c r="BN38" s="778"/>
      <c r="BO38" s="778"/>
      <c r="BP38" s="778"/>
      <c r="BQ38" s="778"/>
      <c r="BR38" s="778"/>
      <c r="BS38" s="778"/>
      <c r="BT38" s="778"/>
      <c r="BU38" s="778"/>
      <c r="BV38" s="778"/>
      <c r="BW38" s="778"/>
      <c r="BX38" s="778"/>
      <c r="BY38" s="778"/>
      <c r="BZ38" s="778"/>
      <c r="CA38" s="778"/>
      <c r="CB38" s="778"/>
      <c r="CC38" s="778"/>
      <c r="CD38" s="778"/>
      <c r="CE38" s="778"/>
      <c r="CF38" s="778"/>
      <c r="CG38" s="778"/>
      <c r="CH38" s="778"/>
      <c r="CI38" s="778"/>
      <c r="CJ38" s="778"/>
      <c r="CK38" s="778"/>
      <c r="CL38" s="778"/>
      <c r="CM38" s="779"/>
      <c r="CN38" s="75"/>
      <c r="CO38" s="75"/>
      <c r="CP38" s="75"/>
      <c r="CQ38" s="75"/>
      <c r="CR38" s="75"/>
    </row>
    <row r="39" spans="1:96" ht="7.9" customHeight="1">
      <c r="A39" s="774" t="s">
        <v>303</v>
      </c>
      <c r="B39" s="775"/>
      <c r="C39" s="775"/>
      <c r="D39" s="775"/>
      <c r="E39" s="775"/>
      <c r="F39" s="775"/>
      <c r="G39" s="775"/>
      <c r="H39" s="775"/>
      <c r="I39" s="775"/>
      <c r="J39" s="775"/>
      <c r="K39" s="775"/>
      <c r="L39" s="775"/>
      <c r="M39" s="775"/>
      <c r="N39" s="775"/>
      <c r="O39" s="775"/>
      <c r="P39" s="775"/>
      <c r="Q39" s="775"/>
      <c r="R39" s="775"/>
      <c r="S39" s="775"/>
      <c r="T39" s="775"/>
      <c r="U39" s="775"/>
      <c r="V39" s="775"/>
      <c r="W39" s="775"/>
      <c r="X39" s="775"/>
      <c r="Y39" s="775"/>
      <c r="Z39" s="775"/>
      <c r="AA39" s="775"/>
      <c r="AB39" s="775"/>
      <c r="AC39" s="775"/>
      <c r="AD39" s="775"/>
      <c r="AE39" s="775"/>
      <c r="AF39" s="775"/>
      <c r="AG39" s="775"/>
      <c r="AH39" s="775"/>
      <c r="AI39" s="775"/>
      <c r="AJ39" s="775"/>
      <c r="AK39" s="775"/>
      <c r="AL39" s="775"/>
      <c r="AM39" s="775"/>
      <c r="AN39" s="775"/>
      <c r="AO39" s="775"/>
      <c r="AP39" s="775"/>
      <c r="AQ39" s="775"/>
      <c r="AR39" s="775"/>
      <c r="AS39" s="775"/>
      <c r="AT39" s="775"/>
      <c r="AU39" s="775"/>
      <c r="AV39" s="775"/>
      <c r="AW39" s="775"/>
      <c r="AX39" s="775"/>
      <c r="AY39" s="775"/>
      <c r="AZ39" s="775"/>
      <c r="BA39" s="775"/>
      <c r="BB39" s="775"/>
      <c r="BC39" s="775"/>
      <c r="BD39" s="775"/>
      <c r="BE39" s="775"/>
      <c r="BF39" s="775"/>
      <c r="BG39" s="775"/>
      <c r="BH39" s="775"/>
      <c r="BI39" s="775"/>
      <c r="BJ39" s="775"/>
      <c r="BK39" s="775"/>
      <c r="BL39" s="775"/>
      <c r="BM39" s="775"/>
      <c r="BN39" s="775"/>
      <c r="BO39" s="775"/>
      <c r="BP39" s="775"/>
      <c r="BQ39" s="775"/>
      <c r="BR39" s="775"/>
      <c r="BS39" s="775"/>
      <c r="BT39" s="775"/>
      <c r="BU39" s="775"/>
      <c r="BV39" s="775"/>
      <c r="BW39" s="775"/>
      <c r="BX39" s="775"/>
      <c r="BY39" s="775"/>
      <c r="BZ39" s="775"/>
      <c r="CA39" s="775"/>
      <c r="CB39" s="775"/>
      <c r="CC39" s="775"/>
      <c r="CD39" s="775"/>
      <c r="CE39" s="775"/>
      <c r="CF39" s="775"/>
      <c r="CG39" s="775"/>
      <c r="CH39" s="775"/>
      <c r="CI39" s="775"/>
      <c r="CJ39" s="775"/>
      <c r="CK39" s="775"/>
      <c r="CL39" s="775"/>
      <c r="CM39" s="776"/>
      <c r="CN39" s="75"/>
      <c r="CO39" s="75"/>
      <c r="CP39" s="75"/>
      <c r="CQ39" s="75"/>
      <c r="CR39" s="75"/>
    </row>
    <row r="40" spans="1:96" ht="6" customHeight="1">
      <c r="A40" s="82"/>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4"/>
      <c r="CN40" s="75"/>
      <c r="CO40" s="75"/>
      <c r="CP40" s="75"/>
      <c r="CQ40" s="75"/>
      <c r="CR40" s="75"/>
    </row>
    <row r="41" spans="1:96" ht="26.25" customHeight="1">
      <c r="A41" s="777"/>
      <c r="B41" s="778"/>
      <c r="C41" s="778"/>
      <c r="D41" s="778"/>
      <c r="E41" s="778"/>
      <c r="F41" s="778"/>
      <c r="G41" s="778"/>
      <c r="H41" s="778"/>
      <c r="I41" s="778"/>
      <c r="J41" s="778"/>
      <c r="K41" s="778"/>
      <c r="L41" s="778"/>
      <c r="M41" s="778"/>
      <c r="N41" s="778"/>
      <c r="O41" s="778"/>
      <c r="P41" s="778"/>
      <c r="Q41" s="778"/>
      <c r="R41" s="778"/>
      <c r="S41" s="778"/>
      <c r="T41" s="778"/>
      <c r="U41" s="778"/>
      <c r="V41" s="778"/>
      <c r="W41" s="778"/>
      <c r="X41" s="778"/>
      <c r="Y41" s="778"/>
      <c r="Z41" s="80"/>
      <c r="AA41" s="80"/>
      <c r="AB41" s="80"/>
      <c r="AC41" s="80"/>
      <c r="AD41" s="80"/>
      <c r="AE41" s="80"/>
      <c r="AF41" s="80"/>
      <c r="AG41" s="80"/>
      <c r="AH41" s="778" t="s">
        <v>304</v>
      </c>
      <c r="AI41" s="778"/>
      <c r="AJ41" s="778"/>
      <c r="AK41" s="778"/>
      <c r="AL41" s="778"/>
      <c r="AM41" s="778"/>
      <c r="AN41" s="778"/>
      <c r="AO41" s="778"/>
      <c r="AP41" s="778"/>
      <c r="AQ41" s="778"/>
      <c r="AR41" s="778"/>
      <c r="AS41" s="778"/>
      <c r="AT41" s="778"/>
      <c r="AU41" s="778"/>
      <c r="AV41" s="778"/>
      <c r="AW41" s="778"/>
      <c r="AX41" s="778"/>
      <c r="AY41" s="778"/>
      <c r="AZ41" s="778"/>
      <c r="BA41" s="778"/>
      <c r="BB41" s="778"/>
      <c r="BC41" s="778"/>
      <c r="BD41" s="778"/>
      <c r="BE41" s="778"/>
      <c r="BF41" s="778"/>
      <c r="BG41" s="778"/>
      <c r="BH41" s="778"/>
      <c r="BI41" s="778"/>
      <c r="BJ41" s="778"/>
      <c r="BK41" s="778"/>
      <c r="BL41" s="778"/>
      <c r="BM41" s="778"/>
      <c r="BN41" s="778"/>
      <c r="BO41" s="778"/>
      <c r="BP41" s="778"/>
      <c r="BQ41" s="778"/>
      <c r="BR41" s="778"/>
      <c r="BS41" s="778"/>
      <c r="BT41" s="778"/>
      <c r="BU41" s="778"/>
      <c r="BV41" s="778"/>
      <c r="BW41" s="778"/>
      <c r="BX41" s="778"/>
      <c r="BY41" s="778"/>
      <c r="BZ41" s="778"/>
      <c r="CA41" s="778"/>
      <c r="CB41" s="778"/>
      <c r="CC41" s="778"/>
      <c r="CD41" s="778"/>
      <c r="CE41" s="778"/>
      <c r="CF41" s="778"/>
      <c r="CG41" s="778"/>
      <c r="CH41" s="778"/>
      <c r="CI41" s="778"/>
      <c r="CJ41" s="778"/>
      <c r="CK41" s="778"/>
      <c r="CL41" s="778"/>
      <c r="CM41" s="779"/>
      <c r="CN41" s="75"/>
      <c r="CO41" s="75"/>
      <c r="CP41" s="75"/>
      <c r="CQ41" s="75"/>
      <c r="CR41" s="75"/>
    </row>
    <row r="42" spans="1:96" ht="12.75" customHeight="1">
      <c r="A42" s="780" t="s">
        <v>305</v>
      </c>
      <c r="B42" s="781"/>
      <c r="C42" s="781"/>
      <c r="D42" s="781"/>
      <c r="E42" s="781"/>
      <c r="F42" s="781"/>
      <c r="G42" s="781"/>
      <c r="H42" s="781"/>
      <c r="I42" s="781"/>
      <c r="J42" s="781"/>
      <c r="K42" s="781"/>
      <c r="L42" s="781"/>
      <c r="M42" s="781"/>
      <c r="N42" s="781"/>
      <c r="O42" s="781"/>
      <c r="P42" s="781"/>
      <c r="Q42" s="781"/>
      <c r="R42" s="781"/>
      <c r="S42" s="781"/>
      <c r="T42" s="781"/>
      <c r="U42" s="781"/>
      <c r="V42" s="781"/>
      <c r="W42" s="781"/>
      <c r="X42" s="781"/>
      <c r="Y42" s="781"/>
      <c r="Z42" s="85"/>
      <c r="AA42" s="85"/>
      <c r="AB42" s="85"/>
      <c r="AC42" s="85"/>
      <c r="AD42" s="85"/>
      <c r="AE42" s="85"/>
      <c r="AF42" s="85"/>
      <c r="AG42" s="85"/>
      <c r="AH42" s="781" t="s">
        <v>199</v>
      </c>
      <c r="AI42" s="781"/>
      <c r="AJ42" s="781"/>
      <c r="AK42" s="781"/>
      <c r="AL42" s="781"/>
      <c r="AM42" s="781"/>
      <c r="AN42" s="781"/>
      <c r="AO42" s="781"/>
      <c r="AP42" s="781"/>
      <c r="AQ42" s="781"/>
      <c r="AR42" s="781"/>
      <c r="AS42" s="781"/>
      <c r="AT42" s="781"/>
      <c r="AU42" s="781"/>
      <c r="AV42" s="781"/>
      <c r="AW42" s="781"/>
      <c r="AX42" s="781"/>
      <c r="AY42" s="781"/>
      <c r="AZ42" s="781"/>
      <c r="BA42" s="781"/>
      <c r="BB42" s="781"/>
      <c r="BC42" s="781"/>
      <c r="BD42" s="781"/>
      <c r="BE42" s="781"/>
      <c r="BF42" s="781"/>
      <c r="BG42" s="781"/>
      <c r="BH42" s="781"/>
      <c r="BI42" s="781"/>
      <c r="BJ42" s="781"/>
      <c r="BK42" s="781"/>
      <c r="BL42" s="781"/>
      <c r="BM42" s="781"/>
      <c r="BN42" s="781"/>
      <c r="BO42" s="781"/>
      <c r="BP42" s="781"/>
      <c r="BQ42" s="781"/>
      <c r="BR42" s="781"/>
      <c r="BS42" s="781"/>
      <c r="BT42" s="781"/>
      <c r="BU42" s="781"/>
      <c r="BV42" s="781"/>
      <c r="BW42" s="781"/>
      <c r="BX42" s="781"/>
      <c r="BY42" s="781"/>
      <c r="BZ42" s="781"/>
      <c r="CA42" s="781"/>
      <c r="CB42" s="781"/>
      <c r="CC42" s="781"/>
      <c r="CD42" s="781"/>
      <c r="CE42" s="781"/>
      <c r="CF42" s="781"/>
      <c r="CG42" s="781"/>
      <c r="CH42" s="781"/>
      <c r="CI42" s="781"/>
      <c r="CJ42" s="781"/>
      <c r="CK42" s="781"/>
      <c r="CL42" s="781"/>
      <c r="CM42" s="782"/>
      <c r="CN42" s="75"/>
      <c r="CO42" s="75"/>
      <c r="CP42" s="75"/>
      <c r="CQ42" s="75"/>
      <c r="CR42" s="75"/>
    </row>
    <row r="43" spans="1:96" ht="10.15" customHeight="1">
      <c r="A43" s="79"/>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1"/>
      <c r="CN43" s="75"/>
      <c r="CO43" s="75"/>
      <c r="CP43" s="75"/>
      <c r="CQ43" s="75"/>
      <c r="CR43" s="75"/>
    </row>
    <row r="44" spans="1:96" ht="32.25" customHeight="1">
      <c r="A44" s="783" t="s">
        <v>297</v>
      </c>
      <c r="B44" s="784"/>
      <c r="C44" s="785"/>
      <c r="D44" s="785"/>
      <c r="E44" s="785"/>
      <c r="F44" s="786" t="s">
        <v>297</v>
      </c>
      <c r="G44" s="786"/>
      <c r="H44" s="80"/>
      <c r="I44" s="785"/>
      <c r="J44" s="785"/>
      <c r="K44" s="785"/>
      <c r="L44" s="785"/>
      <c r="M44" s="785"/>
      <c r="N44" s="785"/>
      <c r="O44" s="785"/>
      <c r="P44" s="785"/>
      <c r="Q44" s="785"/>
      <c r="R44" s="785"/>
      <c r="S44" s="785"/>
      <c r="T44" s="785"/>
      <c r="U44" s="785"/>
      <c r="V44" s="785"/>
      <c r="W44" s="785"/>
      <c r="X44" s="784">
        <v>20</v>
      </c>
      <c r="Y44" s="784"/>
      <c r="Z44" s="784"/>
      <c r="AA44" s="787" t="s">
        <v>306</v>
      </c>
      <c r="AB44" s="787"/>
      <c r="AC44" s="787"/>
      <c r="AD44" s="86" t="s">
        <v>300</v>
      </c>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1"/>
      <c r="CN44" s="75"/>
      <c r="CO44" s="75"/>
      <c r="CP44" s="75"/>
      <c r="CQ44" s="75"/>
      <c r="CR44" s="75"/>
    </row>
    <row r="45" spans="1:96" ht="3" customHeight="1">
      <c r="A45" s="87"/>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9"/>
      <c r="CN45" s="75"/>
      <c r="CO45" s="75"/>
      <c r="CP45" s="75"/>
      <c r="CQ45" s="75"/>
      <c r="CR45" s="75"/>
    </row>
    <row r="46" spans="1:96" ht="10.1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row>
    <row r="47" spans="1:96" ht="10.15" customHeight="1">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row>
    <row r="48" spans="1:96" ht="10.1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row>
  </sheetData>
  <mergeCells count="102">
    <mergeCell ref="B1:CZ1"/>
    <mergeCell ref="A3:H5"/>
    <mergeCell ref="I3:CM5"/>
    <mergeCell ref="CN3:CU5"/>
    <mergeCell ref="CV3:CV5"/>
    <mergeCell ref="CW3:CZ3"/>
    <mergeCell ref="CZ4:CZ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M31:BD31"/>
    <mergeCell ref="BG31:BX31"/>
    <mergeCell ref="CA31:CR31"/>
    <mergeCell ref="AM32:BD32"/>
    <mergeCell ref="BG32:BX32"/>
    <mergeCell ref="CA32:CR32"/>
    <mergeCell ref="I34:J34"/>
    <mergeCell ref="K34:M34"/>
    <mergeCell ref="N34:O34"/>
    <mergeCell ref="Q34:AE34"/>
    <mergeCell ref="AG34:AK34"/>
    <mergeCell ref="A38:CM38"/>
    <mergeCell ref="A39:CM39"/>
    <mergeCell ref="A41:Y41"/>
    <mergeCell ref="AH41:CM41"/>
    <mergeCell ref="A42:Y42"/>
    <mergeCell ref="AH42:CM42"/>
    <mergeCell ref="A44:B44"/>
    <mergeCell ref="C44:E44"/>
    <mergeCell ref="F44:G44"/>
    <mergeCell ref="I44:W44"/>
    <mergeCell ref="X44:Z44"/>
    <mergeCell ref="AA44:AC44"/>
  </mergeCells>
  <pageMargins left="0.59055118110236238" right="0.51181102362204722" top="0.78740157480314954" bottom="0.31496062992125984" header="0.19685039370078738" footer="0.19685039370078738"/>
  <pageSetup paperSize="9" scale="58" orientation="portrait" r:id="rId1"/>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zoomScale="75" workbookViewId="0">
      <selection activeCell="D19" sqref="D19:D29"/>
    </sheetView>
  </sheetViews>
  <sheetFormatPr defaultRowHeight="15"/>
  <cols>
    <col min="1" max="1" width="9.140625" style="44" bestFit="1"/>
    <col min="2" max="2" width="40" style="44" bestFit="1" customWidth="1"/>
    <col min="3" max="3" width="9.140625" style="44" bestFit="1"/>
    <col min="4" max="4" width="19.42578125" style="44" bestFit="1" customWidth="1"/>
    <col min="5" max="5" width="28.140625" style="44" bestFit="1" customWidth="1"/>
    <col min="6" max="6" width="26.28515625" style="44" bestFit="1" customWidth="1"/>
    <col min="7" max="7" width="30.7109375" style="44" bestFit="1" customWidth="1"/>
    <col min="8" max="8" width="30.42578125" style="44" bestFit="1" customWidth="1"/>
    <col min="9" max="9" width="9.140625" style="44" bestFit="1"/>
    <col min="10" max="16384" width="9.140625" style="44"/>
  </cols>
  <sheetData>
    <row r="2" spans="1:8">
      <c r="A2" s="830" t="s">
        <v>226</v>
      </c>
      <c r="B2" s="830"/>
      <c r="C2" s="830"/>
      <c r="D2" s="830"/>
      <c r="E2" s="830"/>
      <c r="F2" s="830"/>
      <c r="G2" s="830"/>
      <c r="H2" s="811"/>
    </row>
    <row r="4" spans="1:8">
      <c r="A4" s="695" t="s">
        <v>307</v>
      </c>
      <c r="B4" s="695" t="s">
        <v>10</v>
      </c>
      <c r="C4" s="695" t="s">
        <v>308</v>
      </c>
      <c r="D4" s="695" t="s">
        <v>309</v>
      </c>
      <c r="E4" s="695" t="s">
        <v>14</v>
      </c>
      <c r="F4" s="695"/>
      <c r="G4" s="695"/>
      <c r="H4" s="695"/>
    </row>
    <row r="5" spans="1:8" ht="30">
      <c r="A5" s="695"/>
      <c r="B5" s="695"/>
      <c r="C5" s="695"/>
      <c r="D5" s="695"/>
      <c r="E5" s="25" t="s">
        <v>310</v>
      </c>
      <c r="F5" s="25" t="s">
        <v>311</v>
      </c>
      <c r="G5" s="25" t="s">
        <v>312</v>
      </c>
      <c r="H5" s="25" t="s">
        <v>18</v>
      </c>
    </row>
    <row r="6" spans="1:8">
      <c r="A6" s="25">
        <v>1</v>
      </c>
      <c r="B6" s="25">
        <v>2</v>
      </c>
      <c r="C6" s="25">
        <v>3</v>
      </c>
      <c r="D6" s="25">
        <v>4</v>
      </c>
      <c r="E6" s="25">
        <v>5</v>
      </c>
      <c r="F6" s="25">
        <v>6</v>
      </c>
      <c r="G6" s="25">
        <v>7</v>
      </c>
      <c r="H6" s="25">
        <v>8</v>
      </c>
    </row>
    <row r="7" spans="1:8" ht="30" customHeight="1">
      <c r="A7" s="709">
        <v>1</v>
      </c>
      <c r="B7" s="90" t="s">
        <v>313</v>
      </c>
      <c r="C7" s="709">
        <v>26000</v>
      </c>
      <c r="D7" s="826" t="s">
        <v>32</v>
      </c>
      <c r="E7" s="716" t="e">
        <f>E27+E30</f>
        <v>#REF!</v>
      </c>
      <c r="F7" s="716" t="e">
        <f t="shared" ref="F7:G7" si="0">F27+F30</f>
        <v>#REF!</v>
      </c>
      <c r="G7" s="716" t="e">
        <f t="shared" si="0"/>
        <v>#REF!</v>
      </c>
      <c r="H7" s="823">
        <v>0</v>
      </c>
    </row>
    <row r="8" spans="1:8" ht="12" hidden="1" customHeight="1">
      <c r="A8" s="820"/>
      <c r="B8" s="91"/>
      <c r="C8" s="820"/>
      <c r="D8" s="827"/>
      <c r="E8" s="695"/>
      <c r="F8" s="695"/>
      <c r="G8" s="695"/>
      <c r="H8" s="816"/>
    </row>
    <row r="9" spans="1:8">
      <c r="A9" s="820"/>
      <c r="B9" s="90" t="s">
        <v>314</v>
      </c>
      <c r="C9" s="820"/>
      <c r="D9" s="827"/>
      <c r="E9" s="695"/>
      <c r="F9" s="695"/>
      <c r="G9" s="695"/>
      <c r="H9" s="816"/>
    </row>
    <row r="10" spans="1:8" ht="3.75" customHeight="1">
      <c r="A10" s="820"/>
      <c r="B10" s="91"/>
      <c r="C10" s="820"/>
      <c r="D10" s="827"/>
      <c r="E10" s="695"/>
      <c r="F10" s="695"/>
      <c r="G10" s="695"/>
      <c r="H10" s="816"/>
    </row>
    <row r="11" spans="1:8" ht="6" customHeight="1">
      <c r="A11" s="710"/>
      <c r="B11" s="90"/>
      <c r="C11" s="710"/>
      <c r="D11" s="827"/>
      <c r="E11" s="695"/>
      <c r="F11" s="695"/>
      <c r="G11" s="695"/>
      <c r="H11" s="816"/>
    </row>
    <row r="12" spans="1:8" ht="15" customHeight="1">
      <c r="A12" s="695" t="s">
        <v>315</v>
      </c>
      <c r="B12" s="55" t="s">
        <v>41</v>
      </c>
      <c r="C12" s="709">
        <v>26100</v>
      </c>
      <c r="D12" s="709" t="s">
        <v>32</v>
      </c>
      <c r="E12" s="821">
        <v>0</v>
      </c>
      <c r="F12" s="821">
        <v>0</v>
      </c>
      <c r="G12" s="821">
        <v>0</v>
      </c>
      <c r="H12" s="816">
        <v>0</v>
      </c>
    </row>
    <row r="13" spans="1:8" ht="45">
      <c r="A13" s="695"/>
      <c r="B13" s="93" t="s">
        <v>316</v>
      </c>
      <c r="C13" s="820"/>
      <c r="D13" s="820"/>
      <c r="E13" s="822"/>
      <c r="F13" s="822"/>
      <c r="G13" s="822"/>
      <c r="H13" s="816"/>
    </row>
    <row r="14" spans="1:8" ht="60">
      <c r="A14" s="695"/>
      <c r="B14" s="93" t="s">
        <v>317</v>
      </c>
      <c r="C14" s="820"/>
      <c r="D14" s="820"/>
      <c r="E14" s="822"/>
      <c r="F14" s="822"/>
      <c r="G14" s="822"/>
      <c r="H14" s="816"/>
    </row>
    <row r="15" spans="1:8" ht="30">
      <c r="A15" s="695"/>
      <c r="B15" s="93" t="s">
        <v>318</v>
      </c>
      <c r="C15" s="820"/>
      <c r="D15" s="820"/>
      <c r="E15" s="822"/>
      <c r="F15" s="822"/>
      <c r="G15" s="822"/>
      <c r="H15" s="816"/>
    </row>
    <row r="16" spans="1:8" ht="68.25" customHeight="1">
      <c r="A16" s="695"/>
      <c r="B16" s="93" t="s">
        <v>319</v>
      </c>
      <c r="C16" s="820"/>
      <c r="D16" s="820"/>
      <c r="E16" s="822"/>
      <c r="F16" s="822"/>
      <c r="G16" s="822"/>
      <c r="H16" s="816"/>
    </row>
    <row r="17" spans="1:8" ht="6" hidden="1" customHeight="1">
      <c r="A17" s="695"/>
      <c r="B17" s="94"/>
      <c r="C17" s="820"/>
      <c r="D17" s="820"/>
      <c r="E17" s="822"/>
      <c r="F17" s="822"/>
      <c r="G17" s="822"/>
      <c r="H17" s="816"/>
    </row>
    <row r="18" spans="1:8" ht="15" hidden="1" customHeight="1">
      <c r="A18" s="695"/>
      <c r="B18" s="95"/>
      <c r="C18" s="710"/>
      <c r="D18" s="710"/>
      <c r="E18" s="823"/>
      <c r="F18" s="823"/>
      <c r="G18" s="823"/>
      <c r="H18" s="816"/>
    </row>
    <row r="19" spans="1:8" ht="30">
      <c r="A19" s="824" t="s">
        <v>320</v>
      </c>
      <c r="B19" s="55" t="s">
        <v>321</v>
      </c>
      <c r="C19" s="826">
        <v>26200</v>
      </c>
      <c r="D19" s="695" t="s">
        <v>32</v>
      </c>
      <c r="E19" s="828">
        <v>0</v>
      </c>
      <c r="F19" s="828">
        <v>0</v>
      </c>
      <c r="G19" s="828">
        <v>0</v>
      </c>
      <c r="H19" s="828">
        <v>0</v>
      </c>
    </row>
    <row r="20" spans="1:8" ht="6" hidden="1" customHeight="1">
      <c r="A20" s="825"/>
      <c r="B20" s="96"/>
      <c r="C20" s="827"/>
      <c r="D20" s="695"/>
      <c r="E20" s="829"/>
      <c r="F20" s="829"/>
      <c r="G20" s="829"/>
      <c r="H20" s="829"/>
    </row>
    <row r="21" spans="1:8" ht="30">
      <c r="A21" s="825"/>
      <c r="B21" s="93" t="s">
        <v>322</v>
      </c>
      <c r="C21" s="827"/>
      <c r="D21" s="695"/>
      <c r="E21" s="829"/>
      <c r="F21" s="829"/>
      <c r="G21" s="829"/>
      <c r="H21" s="829"/>
    </row>
    <row r="22" spans="1:8" ht="30.75" hidden="1" customHeight="1">
      <c r="A22" s="825"/>
      <c r="B22" s="96"/>
      <c r="C22" s="827"/>
      <c r="D22" s="695"/>
      <c r="E22" s="829"/>
      <c r="F22" s="829"/>
      <c r="G22" s="829"/>
      <c r="H22" s="829"/>
    </row>
    <row r="23" spans="1:8" ht="30">
      <c r="A23" s="825"/>
      <c r="B23" s="93" t="s">
        <v>323</v>
      </c>
      <c r="C23" s="827"/>
      <c r="D23" s="695"/>
      <c r="E23" s="829"/>
      <c r="F23" s="829"/>
      <c r="G23" s="829"/>
      <c r="H23" s="829"/>
    </row>
    <row r="24" spans="1:8" ht="8.25" hidden="1" customHeight="1">
      <c r="A24" s="825"/>
      <c r="B24" s="96"/>
      <c r="C24" s="827"/>
      <c r="D24" s="695"/>
      <c r="E24" s="829"/>
      <c r="F24" s="829"/>
      <c r="G24" s="829"/>
      <c r="H24" s="829"/>
    </row>
    <row r="25" spans="1:8" ht="16.5" customHeight="1">
      <c r="A25" s="825"/>
      <c r="B25" s="93" t="s">
        <v>324</v>
      </c>
      <c r="C25" s="827"/>
      <c r="D25" s="695"/>
      <c r="E25" s="829"/>
      <c r="F25" s="829"/>
      <c r="G25" s="829"/>
      <c r="H25" s="829"/>
    </row>
    <row r="26" spans="1:8" ht="5.25" hidden="1" customHeight="1">
      <c r="A26" s="825"/>
      <c r="B26" s="96"/>
      <c r="C26" s="827"/>
      <c r="D26" s="695"/>
      <c r="E26" s="829"/>
      <c r="F26" s="829"/>
      <c r="G26" s="829"/>
      <c r="H26" s="829"/>
    </row>
    <row r="27" spans="1:8" ht="15" customHeight="1">
      <c r="A27" s="709" t="s">
        <v>325</v>
      </c>
      <c r="B27" s="734" t="s">
        <v>326</v>
      </c>
      <c r="C27" s="709">
        <v>26300</v>
      </c>
      <c r="D27" s="695" t="s">
        <v>32</v>
      </c>
      <c r="E27" s="715">
        <v>1242553.75</v>
      </c>
      <c r="F27" s="715">
        <v>0</v>
      </c>
      <c r="G27" s="715">
        <v>0</v>
      </c>
      <c r="H27" s="821">
        <v>0</v>
      </c>
    </row>
    <row r="28" spans="1:8" ht="3.75" customHeight="1">
      <c r="A28" s="820"/>
      <c r="B28" s="734"/>
      <c r="C28" s="820"/>
      <c r="D28" s="695"/>
      <c r="E28" s="728"/>
      <c r="F28" s="728"/>
      <c r="G28" s="728"/>
      <c r="H28" s="822"/>
    </row>
    <row r="29" spans="1:8" ht="67.5" customHeight="1">
      <c r="A29" s="820"/>
      <c r="B29" s="734"/>
      <c r="C29" s="710"/>
      <c r="D29" s="695"/>
      <c r="E29" s="716"/>
      <c r="F29" s="716"/>
      <c r="G29" s="716"/>
      <c r="H29" s="823"/>
    </row>
    <row r="30" spans="1:8" ht="30">
      <c r="A30" s="709" t="s">
        <v>327</v>
      </c>
      <c r="B30" s="55" t="s">
        <v>328</v>
      </c>
      <c r="C30" s="811">
        <v>26400</v>
      </c>
      <c r="D30" s="709" t="s">
        <v>32</v>
      </c>
      <c r="E30" s="817" t="e">
        <f>E36+E79</f>
        <v>#REF!</v>
      </c>
      <c r="F30" s="715" t="e">
        <f>#REF!</f>
        <v>#REF!</v>
      </c>
      <c r="G30" s="715" t="e">
        <f>#REF!</f>
        <v>#REF!</v>
      </c>
      <c r="H30" s="821">
        <v>0</v>
      </c>
    </row>
    <row r="31" spans="1:8" ht="15" hidden="1" customHeight="1">
      <c r="A31" s="820"/>
      <c r="B31" s="96"/>
      <c r="C31" s="811"/>
      <c r="D31" s="820"/>
      <c r="E31" s="818"/>
      <c r="F31" s="728"/>
      <c r="G31" s="728"/>
      <c r="H31" s="822"/>
    </row>
    <row r="32" spans="1:8" ht="45">
      <c r="A32" s="820"/>
      <c r="B32" s="93" t="s">
        <v>329</v>
      </c>
      <c r="C32" s="811"/>
      <c r="D32" s="820"/>
      <c r="E32" s="818"/>
      <c r="F32" s="728"/>
      <c r="G32" s="728"/>
      <c r="H32" s="822"/>
    </row>
    <row r="33" spans="1:8" ht="15" hidden="1" customHeight="1">
      <c r="A33" s="820"/>
      <c r="B33" s="96"/>
      <c r="C33" s="811"/>
      <c r="D33" s="820"/>
      <c r="E33" s="818"/>
      <c r="F33" s="728"/>
      <c r="G33" s="728"/>
      <c r="H33" s="822"/>
    </row>
    <row r="34" spans="1:8">
      <c r="A34" s="820"/>
      <c r="B34" s="93" t="s">
        <v>330</v>
      </c>
      <c r="C34" s="811"/>
      <c r="D34" s="820"/>
      <c r="E34" s="818"/>
      <c r="F34" s="728"/>
      <c r="G34" s="728"/>
      <c r="H34" s="822"/>
    </row>
    <row r="35" spans="1:8" ht="9" hidden="1" customHeight="1">
      <c r="A35" s="820"/>
      <c r="B35" s="96"/>
      <c r="C35" s="811"/>
      <c r="D35" s="820"/>
      <c r="E35" s="818"/>
      <c r="F35" s="728"/>
      <c r="G35" s="728"/>
      <c r="H35" s="822"/>
    </row>
    <row r="36" spans="1:8" ht="15.75" customHeight="1">
      <c r="A36" s="709" t="s">
        <v>331</v>
      </c>
      <c r="B36" s="55" t="s">
        <v>41</v>
      </c>
      <c r="C36" s="709">
        <v>26410</v>
      </c>
      <c r="D36" s="695" t="s">
        <v>32</v>
      </c>
      <c r="E36" s="817">
        <v>8176507.3899999997</v>
      </c>
      <c r="F36" s="715" t="e">
        <f>#REF!</f>
        <v>#REF!</v>
      </c>
      <c r="G36" s="715" t="e">
        <f>#REF!</f>
        <v>#REF!</v>
      </c>
      <c r="H36" s="816">
        <v>0</v>
      </c>
    </row>
    <row r="37" spans="1:8" ht="3.75" customHeight="1">
      <c r="A37" s="820"/>
      <c r="B37" s="96"/>
      <c r="C37" s="820"/>
      <c r="D37" s="695"/>
      <c r="E37" s="818"/>
      <c r="F37" s="728"/>
      <c r="G37" s="728"/>
      <c r="H37" s="816"/>
    </row>
    <row r="38" spans="1:8" ht="45">
      <c r="A38" s="820"/>
      <c r="B38" s="93" t="s">
        <v>332</v>
      </c>
      <c r="C38" s="820"/>
      <c r="D38" s="695"/>
      <c r="E38" s="818"/>
      <c r="F38" s="728"/>
      <c r="G38" s="728"/>
      <c r="H38" s="816"/>
    </row>
    <row r="39" spans="1:8" ht="12.75" hidden="1" customHeight="1">
      <c r="A39" s="820"/>
      <c r="B39" s="96"/>
      <c r="C39" s="820"/>
      <c r="D39" s="695"/>
      <c r="E39" s="818"/>
      <c r="F39" s="728"/>
      <c r="G39" s="728"/>
      <c r="H39" s="816"/>
    </row>
    <row r="40" spans="1:8">
      <c r="A40" s="695" t="s">
        <v>333</v>
      </c>
      <c r="B40" s="55" t="s">
        <v>41</v>
      </c>
      <c r="C40" s="695">
        <v>26411</v>
      </c>
      <c r="D40" s="695" t="s">
        <v>32</v>
      </c>
      <c r="E40" s="715">
        <v>0</v>
      </c>
      <c r="F40" s="715">
        <v>0</v>
      </c>
      <c r="G40" s="715">
        <v>0</v>
      </c>
      <c r="H40" s="816">
        <v>0</v>
      </c>
    </row>
    <row r="41" spans="1:8" ht="6" hidden="1" customHeight="1">
      <c r="A41" s="695"/>
      <c r="B41" s="96"/>
      <c r="C41" s="695"/>
      <c r="D41" s="695"/>
      <c r="E41" s="728"/>
      <c r="F41" s="728"/>
      <c r="G41" s="728"/>
      <c r="H41" s="816"/>
    </row>
    <row r="42" spans="1:8" ht="30">
      <c r="A42" s="695"/>
      <c r="B42" s="56" t="s">
        <v>334</v>
      </c>
      <c r="C42" s="695"/>
      <c r="D42" s="695"/>
      <c r="E42" s="716"/>
      <c r="F42" s="716"/>
      <c r="G42" s="716"/>
      <c r="H42" s="816"/>
    </row>
    <row r="43" spans="1:8" ht="9" hidden="1" customHeight="1">
      <c r="A43" s="695"/>
      <c r="B43" s="91"/>
      <c r="C43" s="695"/>
      <c r="D43" s="695"/>
      <c r="E43" s="715"/>
      <c r="F43" s="715"/>
      <c r="G43" s="715"/>
      <c r="H43" s="816"/>
    </row>
    <row r="44" spans="1:8" ht="9.75" hidden="1" customHeight="1">
      <c r="A44" s="695"/>
      <c r="B44" s="90"/>
      <c r="C44" s="695"/>
      <c r="D44" s="695"/>
      <c r="E44" s="728"/>
      <c r="F44" s="728"/>
      <c r="G44" s="728"/>
      <c r="H44" s="816"/>
    </row>
    <row r="45" spans="1:8" ht="15" customHeight="1">
      <c r="A45" s="695" t="s">
        <v>335</v>
      </c>
      <c r="B45" s="702" t="s">
        <v>336</v>
      </c>
      <c r="C45" s="695">
        <v>26412</v>
      </c>
      <c r="D45" s="695" t="s">
        <v>32</v>
      </c>
      <c r="E45" s="817">
        <f>E36</f>
        <v>8176507.3899999997</v>
      </c>
      <c r="F45" s="715" t="e">
        <f>F36</f>
        <v>#REF!</v>
      </c>
      <c r="G45" s="715" t="e">
        <f>G36</f>
        <v>#REF!</v>
      </c>
      <c r="H45" s="816">
        <v>0</v>
      </c>
    </row>
    <row r="46" spans="1:8">
      <c r="A46" s="695"/>
      <c r="B46" s="819"/>
      <c r="C46" s="695"/>
      <c r="D46" s="695"/>
      <c r="E46" s="818"/>
      <c r="F46" s="728"/>
      <c r="G46" s="728"/>
      <c r="H46" s="816"/>
    </row>
    <row r="47" spans="1:8" ht="10.5" customHeight="1">
      <c r="A47" s="695"/>
      <c r="B47" s="703"/>
      <c r="C47" s="695"/>
      <c r="D47" s="695"/>
      <c r="E47" s="818"/>
      <c r="F47" s="728"/>
      <c r="G47" s="728"/>
      <c r="H47" s="816"/>
    </row>
    <row r="48" spans="1:8" ht="30" hidden="1">
      <c r="A48" s="695" t="s">
        <v>337</v>
      </c>
      <c r="B48" s="90" t="s">
        <v>338</v>
      </c>
      <c r="C48" s="695">
        <v>26420</v>
      </c>
      <c r="D48" s="695" t="s">
        <v>32</v>
      </c>
      <c r="E48" s="815"/>
      <c r="F48" s="815"/>
      <c r="G48" s="815"/>
      <c r="H48" s="816"/>
    </row>
    <row r="49" spans="1:8" ht="9.75" hidden="1" customHeight="1">
      <c r="A49" s="695"/>
      <c r="B49" s="91"/>
      <c r="C49" s="695"/>
      <c r="D49" s="695"/>
      <c r="E49" s="815"/>
      <c r="F49" s="815"/>
      <c r="G49" s="815"/>
      <c r="H49" s="816"/>
    </row>
    <row r="50" spans="1:8" ht="30" hidden="1">
      <c r="A50" s="695"/>
      <c r="B50" s="90" t="s">
        <v>339</v>
      </c>
      <c r="C50" s="695"/>
      <c r="D50" s="695"/>
      <c r="E50" s="815"/>
      <c r="F50" s="815"/>
      <c r="G50" s="815"/>
      <c r="H50" s="816"/>
    </row>
    <row r="51" spans="1:8" hidden="1">
      <c r="A51" s="695"/>
      <c r="B51" s="91"/>
      <c r="C51" s="695"/>
      <c r="D51" s="695"/>
      <c r="E51" s="815"/>
      <c r="F51" s="815"/>
      <c r="G51" s="815"/>
      <c r="H51" s="816"/>
    </row>
    <row r="52" spans="1:8" hidden="1">
      <c r="A52" s="695"/>
      <c r="B52" s="90" t="s">
        <v>340</v>
      </c>
      <c r="C52" s="695"/>
      <c r="D52" s="695"/>
      <c r="E52" s="815"/>
      <c r="F52" s="815"/>
      <c r="G52" s="815"/>
      <c r="H52" s="816"/>
    </row>
    <row r="53" spans="1:8" ht="6.75" hidden="1" customHeight="1">
      <c r="A53" s="695"/>
      <c r="B53" s="91"/>
      <c r="C53" s="695"/>
      <c r="D53" s="695"/>
      <c r="E53" s="815"/>
      <c r="F53" s="815"/>
      <c r="G53" s="815"/>
      <c r="H53" s="816"/>
    </row>
    <row r="54" spans="1:8" hidden="1">
      <c r="A54" s="695"/>
      <c r="B54" s="90"/>
      <c r="C54" s="695"/>
      <c r="D54" s="695"/>
      <c r="E54" s="815"/>
      <c r="F54" s="815"/>
      <c r="G54" s="815"/>
      <c r="H54" s="816"/>
    </row>
    <row r="55" spans="1:8" hidden="1">
      <c r="A55" s="695" t="s">
        <v>341</v>
      </c>
      <c r="B55" s="55" t="s">
        <v>41</v>
      </c>
      <c r="C55" s="695">
        <v>26421</v>
      </c>
      <c r="D55" s="695" t="s">
        <v>32</v>
      </c>
      <c r="E55" s="815"/>
      <c r="F55" s="815"/>
      <c r="G55" s="815"/>
      <c r="H55" s="816"/>
    </row>
    <row r="56" spans="1:8" hidden="1">
      <c r="A56" s="695"/>
      <c r="B56" s="96"/>
      <c r="C56" s="695"/>
      <c r="D56" s="695"/>
      <c r="E56" s="815"/>
      <c r="F56" s="815"/>
      <c r="G56" s="815"/>
      <c r="H56" s="816"/>
    </row>
    <row r="57" spans="1:8" ht="30" hidden="1">
      <c r="A57" s="695"/>
      <c r="B57" s="93" t="s">
        <v>334</v>
      </c>
      <c r="C57" s="695"/>
      <c r="D57" s="695"/>
      <c r="E57" s="815"/>
      <c r="F57" s="815"/>
      <c r="G57" s="815"/>
      <c r="H57" s="816"/>
    </row>
    <row r="58" spans="1:8" ht="4.5" hidden="1" customHeight="1">
      <c r="A58" s="695"/>
      <c r="B58" s="96"/>
      <c r="C58" s="695"/>
      <c r="D58" s="695"/>
      <c r="E58" s="815"/>
      <c r="F58" s="815"/>
      <c r="G58" s="815"/>
      <c r="H58" s="816"/>
    </row>
    <row r="59" spans="1:8" hidden="1">
      <c r="A59" s="695"/>
      <c r="B59" s="97"/>
      <c r="C59" s="695"/>
      <c r="D59" s="695"/>
      <c r="E59" s="815"/>
      <c r="F59" s="815"/>
      <c r="G59" s="815"/>
      <c r="H59" s="816"/>
    </row>
    <row r="60" spans="1:8" hidden="1">
      <c r="A60" s="695" t="s">
        <v>342</v>
      </c>
      <c r="B60" s="714" t="s">
        <v>343</v>
      </c>
      <c r="C60" s="695">
        <v>26422</v>
      </c>
      <c r="D60" s="695" t="s">
        <v>32</v>
      </c>
      <c r="E60" s="815"/>
      <c r="F60" s="815"/>
      <c r="G60" s="815"/>
      <c r="H60" s="816"/>
    </row>
    <row r="61" spans="1:8" hidden="1">
      <c r="A61" s="695"/>
      <c r="B61" s="814"/>
      <c r="C61" s="695"/>
      <c r="D61" s="695"/>
      <c r="E61" s="815"/>
      <c r="F61" s="815"/>
      <c r="G61" s="815"/>
      <c r="H61" s="816"/>
    </row>
    <row r="62" spans="1:8" hidden="1">
      <c r="A62" s="695"/>
      <c r="B62" s="708"/>
      <c r="C62" s="695"/>
      <c r="D62" s="695"/>
      <c r="E62" s="815"/>
      <c r="F62" s="815"/>
      <c r="G62" s="815"/>
      <c r="H62" s="816"/>
    </row>
    <row r="63" spans="1:8" ht="15" hidden="1" customHeight="1">
      <c r="A63" s="695" t="s">
        <v>344</v>
      </c>
      <c r="B63" s="702" t="s">
        <v>345</v>
      </c>
      <c r="C63" s="695">
        <v>26430</v>
      </c>
      <c r="D63" s="695" t="s">
        <v>32</v>
      </c>
      <c r="E63" s="815"/>
      <c r="F63" s="815"/>
      <c r="G63" s="815"/>
      <c r="H63" s="816"/>
    </row>
    <row r="64" spans="1:8" hidden="1">
      <c r="A64" s="695"/>
      <c r="B64" s="819"/>
      <c r="C64" s="695"/>
      <c r="D64" s="695"/>
      <c r="E64" s="815"/>
      <c r="F64" s="815"/>
      <c r="G64" s="815"/>
      <c r="H64" s="816"/>
    </row>
    <row r="65" spans="1:8" hidden="1">
      <c r="A65" s="695"/>
      <c r="B65" s="703"/>
      <c r="C65" s="695"/>
      <c r="D65" s="695"/>
      <c r="E65" s="815"/>
      <c r="F65" s="815"/>
      <c r="G65" s="815"/>
      <c r="H65" s="816"/>
    </row>
    <row r="66" spans="1:8" ht="30" hidden="1">
      <c r="A66" s="695" t="s">
        <v>346</v>
      </c>
      <c r="B66" s="55" t="s">
        <v>347</v>
      </c>
      <c r="C66" s="695">
        <v>26440</v>
      </c>
      <c r="D66" s="695" t="s">
        <v>32</v>
      </c>
      <c r="E66" s="815"/>
      <c r="F66" s="815"/>
      <c r="G66" s="815"/>
      <c r="H66" s="816"/>
    </row>
    <row r="67" spans="1:8" ht="5.25" hidden="1" customHeight="1">
      <c r="A67" s="695"/>
      <c r="B67" s="96"/>
      <c r="C67" s="695"/>
      <c r="D67" s="695"/>
      <c r="E67" s="815"/>
      <c r="F67" s="815"/>
      <c r="G67" s="815"/>
      <c r="H67" s="816"/>
    </row>
    <row r="68" spans="1:8" hidden="1">
      <c r="A68" s="695"/>
      <c r="B68" s="93" t="s">
        <v>348</v>
      </c>
      <c r="C68" s="695"/>
      <c r="D68" s="695"/>
      <c r="E68" s="815"/>
      <c r="F68" s="815"/>
      <c r="G68" s="815"/>
      <c r="H68" s="816"/>
    </row>
    <row r="69" spans="1:8" ht="7.5" hidden="1" customHeight="1">
      <c r="A69" s="695"/>
      <c r="B69" s="94"/>
      <c r="C69" s="695"/>
      <c r="D69" s="695"/>
      <c r="E69" s="815"/>
      <c r="F69" s="815"/>
      <c r="G69" s="815"/>
      <c r="H69" s="816"/>
    </row>
    <row r="70" spans="1:8" hidden="1">
      <c r="A70" s="695"/>
      <c r="B70" s="90"/>
      <c r="C70" s="695"/>
      <c r="D70" s="695"/>
      <c r="E70" s="815"/>
      <c r="F70" s="815"/>
      <c r="G70" s="815"/>
      <c r="H70" s="816"/>
    </row>
    <row r="71" spans="1:8" hidden="1">
      <c r="A71" s="695" t="s">
        <v>349</v>
      </c>
      <c r="B71" s="55" t="s">
        <v>41</v>
      </c>
      <c r="C71" s="695">
        <v>26441</v>
      </c>
      <c r="D71" s="695" t="s">
        <v>32</v>
      </c>
      <c r="E71" s="815"/>
      <c r="F71" s="815"/>
      <c r="G71" s="815"/>
      <c r="H71" s="816"/>
    </row>
    <row r="72" spans="1:8" ht="7.5" hidden="1" customHeight="1">
      <c r="A72" s="695"/>
      <c r="B72" s="96"/>
      <c r="C72" s="695"/>
      <c r="D72" s="695"/>
      <c r="E72" s="815"/>
      <c r="F72" s="815"/>
      <c r="G72" s="815"/>
      <c r="H72" s="816"/>
    </row>
    <row r="73" spans="1:8" ht="30" hidden="1">
      <c r="A73" s="695"/>
      <c r="B73" s="93" t="s">
        <v>334</v>
      </c>
      <c r="C73" s="695"/>
      <c r="D73" s="695"/>
      <c r="E73" s="815"/>
      <c r="F73" s="815"/>
      <c r="G73" s="815"/>
      <c r="H73" s="816"/>
    </row>
    <row r="74" spans="1:8" ht="9.75" hidden="1" customHeight="1">
      <c r="A74" s="695"/>
      <c r="B74" s="96"/>
      <c r="C74" s="695"/>
      <c r="D74" s="695"/>
      <c r="E74" s="815"/>
      <c r="F74" s="815"/>
      <c r="G74" s="815"/>
      <c r="H74" s="816"/>
    </row>
    <row r="75" spans="1:8" ht="5.25" hidden="1" customHeight="1">
      <c r="A75" s="695"/>
      <c r="B75" s="56"/>
      <c r="C75" s="695"/>
      <c r="D75" s="695"/>
      <c r="E75" s="815"/>
      <c r="F75" s="815"/>
      <c r="G75" s="815"/>
      <c r="H75" s="816"/>
    </row>
    <row r="76" spans="1:8" hidden="1">
      <c r="A76" s="695" t="s">
        <v>350</v>
      </c>
      <c r="B76" s="714" t="s">
        <v>343</v>
      </c>
      <c r="C76" s="695">
        <v>26442</v>
      </c>
      <c r="D76" s="695" t="s">
        <v>32</v>
      </c>
      <c r="E76" s="815"/>
      <c r="F76" s="815"/>
      <c r="G76" s="815"/>
      <c r="H76" s="816"/>
    </row>
    <row r="77" spans="1:8" hidden="1">
      <c r="A77" s="695"/>
      <c r="B77" s="814"/>
      <c r="C77" s="695"/>
      <c r="D77" s="695"/>
      <c r="E77" s="815"/>
      <c r="F77" s="815"/>
      <c r="G77" s="815"/>
      <c r="H77" s="816"/>
    </row>
    <row r="78" spans="1:8" hidden="1">
      <c r="A78" s="695"/>
      <c r="B78" s="708"/>
      <c r="C78" s="695"/>
      <c r="D78" s="695"/>
      <c r="E78" s="815"/>
      <c r="F78" s="815"/>
      <c r="G78" s="815"/>
      <c r="H78" s="816"/>
    </row>
    <row r="79" spans="1:8">
      <c r="A79" s="695" t="s">
        <v>351</v>
      </c>
      <c r="B79" s="714" t="s">
        <v>352</v>
      </c>
      <c r="C79" s="695">
        <v>26450</v>
      </c>
      <c r="D79" s="695" t="s">
        <v>32</v>
      </c>
      <c r="E79" s="817" t="e">
        <f>#REF!+#REF!-1192866.55</f>
        <v>#REF!</v>
      </c>
      <c r="F79" s="715" t="e">
        <f>#REF!</f>
        <v>#REF!</v>
      </c>
      <c r="G79" s="715" t="e">
        <f>#REF!</f>
        <v>#REF!</v>
      </c>
      <c r="H79" s="816">
        <v>0</v>
      </c>
    </row>
    <row r="80" spans="1:8">
      <c r="A80" s="695"/>
      <c r="B80" s="814"/>
      <c r="C80" s="695"/>
      <c r="D80" s="695"/>
      <c r="E80" s="818"/>
      <c r="F80" s="728"/>
      <c r="G80" s="728"/>
      <c r="H80" s="816"/>
    </row>
    <row r="81" spans="1:8">
      <c r="A81" s="695"/>
      <c r="B81" s="708"/>
      <c r="C81" s="695"/>
      <c r="D81" s="695"/>
      <c r="E81" s="818"/>
      <c r="F81" s="728"/>
      <c r="G81" s="728"/>
      <c r="H81" s="816"/>
    </row>
    <row r="82" spans="1:8">
      <c r="A82" s="695" t="s">
        <v>353</v>
      </c>
      <c r="B82" s="55" t="s">
        <v>41</v>
      </c>
      <c r="C82" s="695">
        <v>26451</v>
      </c>
      <c r="D82" s="695" t="s">
        <v>32</v>
      </c>
      <c r="E82" s="815"/>
      <c r="F82" s="815"/>
      <c r="G82" s="815"/>
      <c r="H82" s="816"/>
    </row>
    <row r="83" spans="1:8" ht="5.25" hidden="1" customHeight="1">
      <c r="A83" s="695"/>
      <c r="B83" s="96"/>
      <c r="C83" s="695"/>
      <c r="D83" s="695"/>
      <c r="E83" s="815"/>
      <c r="F83" s="815"/>
      <c r="G83" s="815"/>
      <c r="H83" s="816"/>
    </row>
    <row r="84" spans="1:8" ht="30">
      <c r="A84" s="695"/>
      <c r="B84" s="93" t="s">
        <v>334</v>
      </c>
      <c r="C84" s="695"/>
      <c r="D84" s="695"/>
      <c r="E84" s="815"/>
      <c r="F84" s="815"/>
      <c r="G84" s="815"/>
      <c r="H84" s="816"/>
    </row>
    <row r="85" spans="1:8" ht="3" customHeight="1">
      <c r="A85" s="695"/>
      <c r="B85" s="96"/>
      <c r="C85" s="695"/>
      <c r="D85" s="695"/>
      <c r="E85" s="815"/>
      <c r="F85" s="815"/>
      <c r="G85" s="815"/>
      <c r="H85" s="816"/>
    </row>
    <row r="86" spans="1:8" ht="6" customHeight="1">
      <c r="A86" s="695"/>
      <c r="B86" s="56"/>
      <c r="C86" s="695"/>
      <c r="D86" s="695"/>
      <c r="E86" s="815"/>
      <c r="F86" s="815"/>
      <c r="G86" s="815"/>
      <c r="H86" s="816"/>
    </row>
    <row r="87" spans="1:8">
      <c r="A87" s="695" t="s">
        <v>354</v>
      </c>
      <c r="B87" s="714" t="s">
        <v>336</v>
      </c>
      <c r="C87" s="695">
        <v>26452</v>
      </c>
      <c r="D87" s="695" t="s">
        <v>32</v>
      </c>
      <c r="E87" s="817" t="e">
        <f>E79</f>
        <v>#REF!</v>
      </c>
      <c r="F87" s="715" t="e">
        <f t="shared" ref="F87:G87" si="1">F79</f>
        <v>#REF!</v>
      </c>
      <c r="G87" s="715" t="e">
        <f t="shared" si="1"/>
        <v>#REF!</v>
      </c>
      <c r="H87" s="816">
        <v>0</v>
      </c>
    </row>
    <row r="88" spans="1:8">
      <c r="A88" s="695"/>
      <c r="B88" s="814"/>
      <c r="C88" s="695"/>
      <c r="D88" s="695"/>
      <c r="E88" s="818"/>
      <c r="F88" s="728"/>
      <c r="G88" s="728"/>
      <c r="H88" s="816"/>
    </row>
    <row r="89" spans="1:8">
      <c r="A89" s="695"/>
      <c r="B89" s="708"/>
      <c r="C89" s="695"/>
      <c r="D89" s="695"/>
      <c r="E89" s="818"/>
      <c r="F89" s="728"/>
      <c r="G89" s="728"/>
      <c r="H89" s="816"/>
    </row>
    <row r="90" spans="1:8" ht="31.5" customHeight="1">
      <c r="A90" s="695">
        <v>2</v>
      </c>
      <c r="B90" s="90" t="s">
        <v>355</v>
      </c>
      <c r="C90" s="695">
        <v>26500</v>
      </c>
      <c r="D90" s="695" t="s">
        <v>32</v>
      </c>
      <c r="E90" s="816">
        <v>0</v>
      </c>
      <c r="F90" s="816">
        <v>0</v>
      </c>
      <c r="G90" s="816">
        <v>0</v>
      </c>
      <c r="H90" s="816">
        <v>0</v>
      </c>
    </row>
    <row r="91" spans="1:8" ht="5.25" hidden="1" customHeight="1">
      <c r="A91" s="695"/>
      <c r="B91" s="91"/>
      <c r="C91" s="695"/>
      <c r="D91" s="695"/>
      <c r="E91" s="816"/>
      <c r="F91" s="816"/>
      <c r="G91" s="816"/>
      <c r="H91" s="816"/>
    </row>
    <row r="92" spans="1:8" ht="30">
      <c r="A92" s="695"/>
      <c r="B92" s="90" t="s">
        <v>356</v>
      </c>
      <c r="C92" s="695"/>
      <c r="D92" s="695"/>
      <c r="E92" s="816"/>
      <c r="F92" s="816"/>
      <c r="G92" s="816"/>
      <c r="H92" s="816"/>
    </row>
    <row r="93" spans="1:8" ht="5.25" hidden="1" customHeight="1">
      <c r="A93" s="695"/>
      <c r="B93" s="91"/>
      <c r="C93" s="695"/>
      <c r="D93" s="695"/>
      <c r="E93" s="816"/>
      <c r="F93" s="816"/>
      <c r="G93" s="816"/>
      <c r="H93" s="816"/>
    </row>
    <row r="94" spans="1:8" ht="30">
      <c r="A94" s="695"/>
      <c r="B94" s="90" t="s">
        <v>357</v>
      </c>
      <c r="C94" s="695"/>
      <c r="D94" s="695"/>
      <c r="E94" s="816"/>
      <c r="F94" s="816"/>
      <c r="G94" s="816"/>
      <c r="H94" s="816"/>
    </row>
    <row r="95" spans="1:8" ht="6" hidden="1" customHeight="1">
      <c r="A95" s="695"/>
      <c r="B95" s="91"/>
      <c r="C95" s="695"/>
      <c r="D95" s="695"/>
      <c r="E95" s="816"/>
      <c r="F95" s="816"/>
      <c r="G95" s="816"/>
      <c r="H95" s="816"/>
    </row>
    <row r="96" spans="1:8">
      <c r="A96" s="695"/>
      <c r="B96" s="90" t="s">
        <v>358</v>
      </c>
      <c r="C96" s="695"/>
      <c r="D96" s="695"/>
      <c r="E96" s="816"/>
      <c r="F96" s="816"/>
      <c r="G96" s="816"/>
      <c r="H96" s="816"/>
    </row>
    <row r="97" spans="1:8" ht="10.5" hidden="1" customHeight="1">
      <c r="A97" s="695"/>
      <c r="B97" s="91"/>
      <c r="C97" s="695"/>
      <c r="D97" s="695"/>
      <c r="E97" s="816"/>
      <c r="F97" s="816"/>
      <c r="G97" s="816"/>
      <c r="H97" s="816"/>
    </row>
    <row r="98" spans="1:8" ht="4.5" hidden="1" customHeight="1">
      <c r="A98" s="695"/>
      <c r="B98" s="98"/>
      <c r="C98" s="695"/>
      <c r="D98" s="695"/>
      <c r="E98" s="816"/>
      <c r="F98" s="816"/>
      <c r="G98" s="816"/>
      <c r="H98" s="816"/>
    </row>
    <row r="99" spans="1:8">
      <c r="A99" s="695"/>
      <c r="B99" s="714" t="s">
        <v>359</v>
      </c>
      <c r="C99" s="695">
        <v>26510</v>
      </c>
      <c r="D99" s="695"/>
      <c r="E99" s="815"/>
      <c r="F99" s="815"/>
      <c r="G99" s="815"/>
      <c r="H99" s="815"/>
    </row>
    <row r="100" spans="1:8" ht="3.75" hidden="1" customHeight="1">
      <c r="A100" s="695"/>
      <c r="B100" s="814"/>
      <c r="C100" s="695"/>
      <c r="D100" s="695"/>
      <c r="E100" s="815"/>
      <c r="F100" s="815"/>
      <c r="G100" s="815"/>
      <c r="H100" s="815"/>
    </row>
    <row r="101" spans="1:8" hidden="1">
      <c r="A101" s="695"/>
      <c r="B101" s="708"/>
      <c r="C101" s="695"/>
      <c r="D101" s="695"/>
      <c r="E101" s="815"/>
      <c r="F101" s="815"/>
      <c r="G101" s="815"/>
      <c r="H101" s="815"/>
    </row>
    <row r="102" spans="1:8" ht="79.5" customHeight="1">
      <c r="A102" s="25">
        <v>3</v>
      </c>
      <c r="B102" s="24" t="s">
        <v>285</v>
      </c>
      <c r="C102" s="25">
        <v>26600</v>
      </c>
      <c r="D102" s="25" t="s">
        <v>32</v>
      </c>
      <c r="E102" s="53">
        <v>0</v>
      </c>
      <c r="F102" s="53">
        <v>0</v>
      </c>
      <c r="G102" s="53">
        <v>0</v>
      </c>
      <c r="H102" s="92">
        <v>0</v>
      </c>
    </row>
    <row r="103" spans="1:8">
      <c r="A103" s="695"/>
      <c r="B103" s="702" t="s">
        <v>360</v>
      </c>
      <c r="C103" s="695">
        <v>26610</v>
      </c>
      <c r="D103" s="695" t="s">
        <v>32</v>
      </c>
      <c r="E103" s="717">
        <f>E102</f>
        <v>0</v>
      </c>
      <c r="F103" s="717">
        <f t="shared" ref="F103:G103" si="2">F102</f>
        <v>0</v>
      </c>
      <c r="G103" s="717">
        <f t="shared" si="2"/>
        <v>0</v>
      </c>
      <c r="H103" s="816">
        <v>0</v>
      </c>
    </row>
    <row r="104" spans="1:8">
      <c r="A104" s="695"/>
      <c r="B104" s="703"/>
      <c r="C104" s="695"/>
      <c r="D104" s="695"/>
      <c r="E104" s="717"/>
      <c r="F104" s="717"/>
      <c r="G104" s="717"/>
      <c r="H104" s="816"/>
    </row>
    <row r="106" spans="1:8" ht="36.75" customHeight="1"/>
    <row r="107" spans="1:8">
      <c r="A107" s="44" t="s">
        <v>361</v>
      </c>
      <c r="G107" s="99" t="s">
        <v>362</v>
      </c>
    </row>
    <row r="108" spans="1:8">
      <c r="A108" s="44" t="s">
        <v>363</v>
      </c>
    </row>
    <row r="110" spans="1:8">
      <c r="A110" s="58" t="s">
        <v>364</v>
      </c>
    </row>
    <row r="112" spans="1:8">
      <c r="A112" s="100"/>
    </row>
    <row r="114" spans="1:5">
      <c r="A114" s="101"/>
    </row>
    <row r="116" spans="1:5" ht="18" customHeight="1">
      <c r="B116" s="102" t="s">
        <v>301</v>
      </c>
      <c r="C116" s="90"/>
      <c r="D116" s="90"/>
      <c r="E116" s="90"/>
    </row>
    <row r="117" spans="1:5">
      <c r="B117" s="809"/>
      <c r="C117" s="809"/>
      <c r="D117" s="809"/>
      <c r="E117" s="809"/>
    </row>
    <row r="118" spans="1:5" ht="20.25">
      <c r="B118" s="810" t="s">
        <v>365</v>
      </c>
      <c r="C118" s="810"/>
      <c r="D118" s="810"/>
      <c r="E118" s="810"/>
    </row>
    <row r="119" spans="1:5">
      <c r="B119" s="811" t="s">
        <v>366</v>
      </c>
      <c r="C119" s="811"/>
      <c r="D119" s="811"/>
      <c r="E119" s="811"/>
    </row>
    <row r="120" spans="1:5" ht="25.5" customHeight="1"/>
    <row r="121" spans="1:5">
      <c r="B121" s="809"/>
      <c r="C121" s="809"/>
      <c r="D121" s="809"/>
      <c r="E121" s="809"/>
    </row>
    <row r="122" spans="1:5" ht="30" customHeight="1">
      <c r="A122" s="100"/>
      <c r="B122" s="812" t="s">
        <v>367</v>
      </c>
      <c r="C122" s="812"/>
      <c r="D122" s="812"/>
      <c r="E122" s="812"/>
    </row>
    <row r="123" spans="1:5">
      <c r="B123" s="811" t="s">
        <v>368</v>
      </c>
      <c r="C123" s="811"/>
      <c r="D123" s="811"/>
      <c r="E123" s="811"/>
    </row>
    <row r="124" spans="1:5" ht="25.5" customHeight="1"/>
    <row r="125" spans="1:5">
      <c r="B125" s="813" t="s">
        <v>369</v>
      </c>
      <c r="C125" s="813"/>
      <c r="D125" s="813"/>
      <c r="E125" s="813"/>
    </row>
    <row r="126" spans="1:5">
      <c r="A126" s="101"/>
      <c r="B126" s="813"/>
      <c r="C126" s="813"/>
      <c r="D126" s="813"/>
      <c r="E126" s="813"/>
    </row>
    <row r="144" spans="1:9" ht="15.75" customHeight="1">
      <c r="A144" s="103" t="s">
        <v>370</v>
      </c>
      <c r="B144" s="103"/>
      <c r="C144" s="103"/>
      <c r="D144" s="103"/>
      <c r="E144" s="103"/>
      <c r="F144" s="103"/>
      <c r="G144" s="103"/>
      <c r="H144" s="103"/>
      <c r="I144" s="103"/>
    </row>
    <row r="145" spans="1:1" ht="15.75" customHeight="1">
      <c r="A145" s="103" t="s">
        <v>371</v>
      </c>
    </row>
    <row r="146" spans="1:1" ht="15.75" customHeight="1">
      <c r="A146" s="103" t="s">
        <v>372</v>
      </c>
    </row>
    <row r="147" spans="1:1" ht="18">
      <c r="A147" s="103" t="s">
        <v>184</v>
      </c>
    </row>
    <row r="148" spans="1:1" ht="18">
      <c r="A148" s="103" t="s">
        <v>185</v>
      </c>
    </row>
    <row r="149" spans="1:1" ht="18">
      <c r="A149" s="103" t="s">
        <v>186</v>
      </c>
    </row>
    <row r="150" spans="1:1" ht="18">
      <c r="A150" s="103" t="s">
        <v>187</v>
      </c>
    </row>
    <row r="151" spans="1:1" ht="18">
      <c r="A151" s="103" t="s">
        <v>188</v>
      </c>
    </row>
    <row r="152" spans="1:1" ht="15.75" customHeight="1">
      <c r="A152" s="103" t="s">
        <v>373</v>
      </c>
    </row>
    <row r="153" spans="1:1" ht="15.75" customHeight="1">
      <c r="A153" s="103" t="s">
        <v>374</v>
      </c>
    </row>
    <row r="154" spans="1:1" ht="15.75" customHeight="1">
      <c r="A154" s="103" t="s">
        <v>375</v>
      </c>
    </row>
    <row r="155" spans="1:1" ht="15.75" customHeight="1">
      <c r="A155" s="103" t="s">
        <v>376</v>
      </c>
    </row>
    <row r="156" spans="1:1" ht="18">
      <c r="A156" s="103" t="s">
        <v>377</v>
      </c>
    </row>
    <row r="157" spans="1:1" ht="15.75" customHeight="1">
      <c r="A157" s="103" t="s">
        <v>378</v>
      </c>
    </row>
    <row r="158" spans="1:1" ht="15.75" customHeight="1">
      <c r="A158" s="103" t="s">
        <v>379</v>
      </c>
    </row>
    <row r="159" spans="1:1" ht="15.75" customHeight="1">
      <c r="A159" s="103" t="s">
        <v>380</v>
      </c>
    </row>
    <row r="160" spans="1:1" ht="15.75" customHeight="1">
      <c r="A160" s="103" t="s">
        <v>381</v>
      </c>
    </row>
    <row r="161" spans="1:1" ht="15.75" customHeight="1">
      <c r="A161" s="103" t="s">
        <v>382</v>
      </c>
    </row>
    <row r="162" spans="1:1" ht="15.75" customHeight="1">
      <c r="A162" s="103" t="s">
        <v>383</v>
      </c>
    </row>
    <row r="163" spans="1:1" ht="15.75" customHeight="1">
      <c r="A163" s="103" t="s">
        <v>384</v>
      </c>
    </row>
    <row r="164" spans="1:1" ht="15.75" customHeight="1">
      <c r="A164" s="103" t="s">
        <v>385</v>
      </c>
    </row>
    <row r="165" spans="1:1" ht="15.75" customHeight="1">
      <c r="A165" s="103" t="s">
        <v>386</v>
      </c>
    </row>
  </sheetData>
  <mergeCells count="172">
    <mergeCell ref="A2:H2"/>
    <mergeCell ref="A4:A5"/>
    <mergeCell ref="B4:B5"/>
    <mergeCell ref="C4:C5"/>
    <mergeCell ref="D4:D5"/>
    <mergeCell ref="E4:H4"/>
    <mergeCell ref="A7:A11"/>
    <mergeCell ref="C7:C11"/>
    <mergeCell ref="D7:D11"/>
    <mergeCell ref="E7:E11"/>
    <mergeCell ref="F7:F11"/>
    <mergeCell ref="G7:G11"/>
    <mergeCell ref="H7:H11"/>
    <mergeCell ref="A12:A18"/>
    <mergeCell ref="C12:C18"/>
    <mergeCell ref="D12:D18"/>
    <mergeCell ref="E12:E18"/>
    <mergeCell ref="F12:F18"/>
    <mergeCell ref="G12:G18"/>
    <mergeCell ref="H12:H18"/>
    <mergeCell ref="A19:A26"/>
    <mergeCell ref="C19:C26"/>
    <mergeCell ref="D19:D26"/>
    <mergeCell ref="E19:E26"/>
    <mergeCell ref="F19:F26"/>
    <mergeCell ref="G19:G26"/>
    <mergeCell ref="H19:H26"/>
    <mergeCell ref="A27:A29"/>
    <mergeCell ref="B27:B29"/>
    <mergeCell ref="C27:C29"/>
    <mergeCell ref="D27:D29"/>
    <mergeCell ref="E27:E29"/>
    <mergeCell ref="F27:F29"/>
    <mergeCell ref="G27:G29"/>
    <mergeCell ref="H27:H29"/>
    <mergeCell ref="A30:A35"/>
    <mergeCell ref="C30:C35"/>
    <mergeCell ref="D30:D35"/>
    <mergeCell ref="E30:E35"/>
    <mergeCell ref="F30:F35"/>
    <mergeCell ref="G30:G35"/>
    <mergeCell ref="H30:H35"/>
    <mergeCell ref="A36:A39"/>
    <mergeCell ref="C36:C39"/>
    <mergeCell ref="D36:D39"/>
    <mergeCell ref="E36:E39"/>
    <mergeCell ref="F36:F39"/>
    <mergeCell ref="G36:G39"/>
    <mergeCell ref="H36:H39"/>
    <mergeCell ref="A40:A44"/>
    <mergeCell ref="C40:C44"/>
    <mergeCell ref="D40:D44"/>
    <mergeCell ref="E40:E42"/>
    <mergeCell ref="F40:F42"/>
    <mergeCell ref="G40:G42"/>
    <mergeCell ref="H40:H44"/>
    <mergeCell ref="E43:E44"/>
    <mergeCell ref="F43:F44"/>
    <mergeCell ref="G43:G44"/>
    <mergeCell ref="A45:A47"/>
    <mergeCell ref="B45:B47"/>
    <mergeCell ref="C45:C47"/>
    <mergeCell ref="D45:D47"/>
    <mergeCell ref="E45:E47"/>
    <mergeCell ref="F45:F47"/>
    <mergeCell ref="G45:G47"/>
    <mergeCell ref="H45:H47"/>
    <mergeCell ref="A48:A54"/>
    <mergeCell ref="C48:C54"/>
    <mergeCell ref="D48:D54"/>
    <mergeCell ref="E48:E54"/>
    <mergeCell ref="F48:F54"/>
    <mergeCell ref="G48:G54"/>
    <mergeCell ref="H48:H54"/>
    <mergeCell ref="A55:A59"/>
    <mergeCell ref="C55:C59"/>
    <mergeCell ref="D55:D59"/>
    <mergeCell ref="E55:E59"/>
    <mergeCell ref="F55:F59"/>
    <mergeCell ref="G55:G59"/>
    <mergeCell ref="H55:H59"/>
    <mergeCell ref="A60:A62"/>
    <mergeCell ref="B60:B62"/>
    <mergeCell ref="C60:C62"/>
    <mergeCell ref="D60:D62"/>
    <mergeCell ref="E60:E62"/>
    <mergeCell ref="F60:F62"/>
    <mergeCell ref="G60:G62"/>
    <mergeCell ref="H60:H62"/>
    <mergeCell ref="A63:A65"/>
    <mergeCell ref="B63:B65"/>
    <mergeCell ref="C63:C65"/>
    <mergeCell ref="D63:D65"/>
    <mergeCell ref="E63:E65"/>
    <mergeCell ref="F63:F65"/>
    <mergeCell ref="G63:G65"/>
    <mergeCell ref="H63:H65"/>
    <mergeCell ref="A66:A70"/>
    <mergeCell ref="C66:C70"/>
    <mergeCell ref="D66:D70"/>
    <mergeCell ref="E66:E70"/>
    <mergeCell ref="F66:F70"/>
    <mergeCell ref="G66:G70"/>
    <mergeCell ref="H66:H70"/>
    <mergeCell ref="A71:A75"/>
    <mergeCell ref="C71:C75"/>
    <mergeCell ref="D71:D75"/>
    <mergeCell ref="E71:E75"/>
    <mergeCell ref="F71:F75"/>
    <mergeCell ref="G71:G75"/>
    <mergeCell ref="H71:H75"/>
    <mergeCell ref="A76:A78"/>
    <mergeCell ref="B76:B78"/>
    <mergeCell ref="C76:C78"/>
    <mergeCell ref="D76:D78"/>
    <mergeCell ref="E76:E78"/>
    <mergeCell ref="F76:F78"/>
    <mergeCell ref="G76:G78"/>
    <mergeCell ref="H76:H78"/>
    <mergeCell ref="A79:A81"/>
    <mergeCell ref="B79:B81"/>
    <mergeCell ref="C79:C81"/>
    <mergeCell ref="D79:D81"/>
    <mergeCell ref="E79:E81"/>
    <mergeCell ref="F79:F81"/>
    <mergeCell ref="G79:G81"/>
    <mergeCell ref="H79:H81"/>
    <mergeCell ref="A82:A86"/>
    <mergeCell ref="C82:C86"/>
    <mergeCell ref="D82:D86"/>
    <mergeCell ref="E82:E86"/>
    <mergeCell ref="F82:F86"/>
    <mergeCell ref="G82:G86"/>
    <mergeCell ref="H82:H86"/>
    <mergeCell ref="A87:A89"/>
    <mergeCell ref="B87:B89"/>
    <mergeCell ref="C87:C89"/>
    <mergeCell ref="D87:D89"/>
    <mergeCell ref="E87:E89"/>
    <mergeCell ref="F87:F89"/>
    <mergeCell ref="G87:G89"/>
    <mergeCell ref="H87:H89"/>
    <mergeCell ref="A90:A98"/>
    <mergeCell ref="C90:C98"/>
    <mergeCell ref="D90:D98"/>
    <mergeCell ref="E90:E98"/>
    <mergeCell ref="F90:F98"/>
    <mergeCell ref="G90:G98"/>
    <mergeCell ref="H90:H98"/>
    <mergeCell ref="F99:F101"/>
    <mergeCell ref="G99:G101"/>
    <mergeCell ref="H99:H101"/>
    <mergeCell ref="A103:A104"/>
    <mergeCell ref="B103:B104"/>
    <mergeCell ref="C103:C104"/>
    <mergeCell ref="D103:D104"/>
    <mergeCell ref="E103:E104"/>
    <mergeCell ref="F103:F104"/>
    <mergeCell ref="G103:G104"/>
    <mergeCell ref="H103:H104"/>
    <mergeCell ref="B117:E117"/>
    <mergeCell ref="B118:E118"/>
    <mergeCell ref="B119:E119"/>
    <mergeCell ref="B121:E121"/>
    <mergeCell ref="B122:E122"/>
    <mergeCell ref="B123:E123"/>
    <mergeCell ref="B125:E126"/>
    <mergeCell ref="A99:A101"/>
    <mergeCell ref="B99:B101"/>
    <mergeCell ref="C99:C101"/>
    <mergeCell ref="D99:D101"/>
    <mergeCell ref="E99:E101"/>
  </mergeCells>
  <hyperlinks>
    <hyperlink ref="A2" location="_edn1" display="Раздел 2. Сведения по выплатам на закупки товаров, работ, услуг"/>
    <hyperlink ref="B9" location="_edn2" display="всего"/>
    <hyperlink ref="B16" location="_edn3" display="и Федерального закона от 18.07.2011г. № 223-ФЗ «О закупках товаров, работ, услуг отдельными видами юридических лиц» (далее-Федеральный закон № 223-ФЗ)"/>
    <hyperlink ref="B27" location="_edn4" display="по контрактам (договорам), заключенным до начала текущего финансового года с учетом требований Федерального закона № 44-ФЗ и Федерального закона  № 223-ФЗ"/>
    <hyperlink ref="B45" location="_edn5" display="в соответствии с Федеральным законом № 223-ФЗ"/>
    <hyperlink ref="B63" location="_edn6" display="за счет субсидий, предоставляемых на осуществление капитальных вложений[vi]"/>
    <hyperlink ref="B96" location="_edn7" display=" году закупки"/>
  </hyperlinks>
  <pageMargins left="0.70866141732283472" right="0.70866141732283472" top="0.74803149606299213" bottom="0.74803149606299213" header="0.31496062992125984" footer="0.31496062992125984"/>
  <pageSetup paperSize="9" scale="45"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pageSetUpPr fitToPage="1"/>
  </sheetPr>
  <dimension ref="A1:DA47"/>
  <sheetViews>
    <sheetView zoomScale="130" workbookViewId="0">
      <selection activeCell="AH41" sqref="AH41:CM41"/>
    </sheetView>
  </sheetViews>
  <sheetFormatPr defaultRowHeight="10.15" customHeight="1"/>
  <cols>
    <col min="1" max="25" width="0.85546875" style="28" bestFit="1" customWidth="1"/>
    <col min="26" max="26" width="2.5703125" style="28" bestFit="1" customWidth="1"/>
    <col min="27" max="28" width="0.85546875" style="28" bestFit="1" customWidth="1"/>
    <col min="29" max="29" width="2.5703125" style="28" bestFit="1" customWidth="1"/>
    <col min="30" max="99" width="0.85546875" style="28" bestFit="1" customWidth="1"/>
    <col min="100" max="100" width="8.7109375" style="28" bestFit="1" customWidth="1"/>
    <col min="101" max="101" width="13.7109375" style="28" bestFit="1" customWidth="1"/>
    <col min="102" max="103" width="14.5703125" style="28" bestFit="1" customWidth="1"/>
    <col min="104" max="104" width="14.85546875" style="28" bestFit="1" customWidth="1"/>
    <col min="105" max="105" width="11.7109375" style="28" bestFit="1" customWidth="1"/>
    <col min="106" max="106" width="9.140625" style="28" bestFit="1"/>
    <col min="107" max="16384" width="9.140625" style="28"/>
  </cols>
  <sheetData>
    <row r="1" spans="1:105" ht="21.75" customHeight="1">
      <c r="B1" s="758" t="s">
        <v>226</v>
      </c>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758"/>
      <c r="AN1" s="758"/>
      <c r="AO1" s="758"/>
      <c r="AP1" s="758"/>
      <c r="AQ1" s="758"/>
      <c r="AR1" s="758"/>
      <c r="AS1" s="758"/>
      <c r="AT1" s="758"/>
      <c r="AU1" s="758"/>
      <c r="AV1" s="758"/>
      <c r="AW1" s="758"/>
      <c r="AX1" s="758"/>
      <c r="AY1" s="758"/>
      <c r="AZ1" s="758"/>
      <c r="BA1" s="758"/>
      <c r="BB1" s="758"/>
      <c r="BC1" s="758"/>
      <c r="BD1" s="758"/>
      <c r="BE1" s="758"/>
      <c r="BF1" s="758"/>
      <c r="BG1" s="758"/>
      <c r="BH1" s="758"/>
      <c r="BI1" s="758"/>
      <c r="BJ1" s="758"/>
      <c r="BK1" s="758"/>
      <c r="BL1" s="758"/>
      <c r="BM1" s="758"/>
      <c r="BN1" s="758"/>
      <c r="BO1" s="758"/>
      <c r="BP1" s="758"/>
      <c r="BQ1" s="758"/>
      <c r="BR1" s="758"/>
      <c r="BS1" s="758"/>
      <c r="BT1" s="758"/>
      <c r="BU1" s="758"/>
      <c r="BV1" s="758"/>
      <c r="BW1" s="758"/>
      <c r="BX1" s="758"/>
      <c r="BY1" s="758"/>
      <c r="BZ1" s="758"/>
      <c r="CA1" s="758"/>
      <c r="CB1" s="758"/>
      <c r="CC1" s="758"/>
      <c r="CD1" s="758"/>
      <c r="CE1" s="758"/>
      <c r="CF1" s="758"/>
      <c r="CG1" s="758"/>
      <c r="CH1" s="758"/>
      <c r="CI1" s="758"/>
      <c r="CJ1" s="758"/>
      <c r="CK1" s="758"/>
      <c r="CL1" s="758"/>
      <c r="CM1" s="758"/>
      <c r="CN1" s="758"/>
      <c r="CO1" s="758"/>
      <c r="CP1" s="758"/>
      <c r="CQ1" s="758"/>
      <c r="CR1" s="758"/>
      <c r="CS1" s="758"/>
      <c r="CT1" s="758"/>
      <c r="CU1" s="758"/>
      <c r="CV1" s="758"/>
      <c r="CW1" s="758"/>
      <c r="CX1" s="758"/>
      <c r="CY1" s="758"/>
      <c r="CZ1" s="758"/>
      <c r="DA1" s="758"/>
    </row>
    <row r="2" spans="1:105" ht="15"/>
    <row r="3" spans="1:105" ht="11.25" customHeight="1">
      <c r="A3" s="760" t="s">
        <v>227</v>
      </c>
      <c r="B3" s="760"/>
      <c r="C3" s="760"/>
      <c r="D3" s="760"/>
      <c r="E3" s="760"/>
      <c r="F3" s="760"/>
      <c r="G3" s="760"/>
      <c r="H3" s="760"/>
      <c r="I3" s="759" t="s">
        <v>10</v>
      </c>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59"/>
      <c r="BC3" s="759"/>
      <c r="BD3" s="759"/>
      <c r="BE3" s="759"/>
      <c r="BF3" s="759"/>
      <c r="BG3" s="759"/>
      <c r="BH3" s="759"/>
      <c r="BI3" s="759"/>
      <c r="BJ3" s="759"/>
      <c r="BK3" s="759"/>
      <c r="BL3" s="759"/>
      <c r="BM3" s="759"/>
      <c r="BN3" s="759"/>
      <c r="BO3" s="759"/>
      <c r="BP3" s="759"/>
      <c r="BQ3" s="759"/>
      <c r="BR3" s="759"/>
      <c r="BS3" s="759"/>
      <c r="BT3" s="759"/>
      <c r="BU3" s="759"/>
      <c r="BV3" s="759"/>
      <c r="BW3" s="759"/>
      <c r="BX3" s="759"/>
      <c r="BY3" s="759"/>
      <c r="BZ3" s="759"/>
      <c r="CA3" s="759"/>
      <c r="CB3" s="759"/>
      <c r="CC3" s="759"/>
      <c r="CD3" s="759"/>
      <c r="CE3" s="759"/>
      <c r="CF3" s="759"/>
      <c r="CG3" s="759"/>
      <c r="CH3" s="759"/>
      <c r="CI3" s="759"/>
      <c r="CJ3" s="759"/>
      <c r="CK3" s="759"/>
      <c r="CL3" s="759"/>
      <c r="CM3" s="759"/>
      <c r="CN3" s="760" t="s">
        <v>228</v>
      </c>
      <c r="CO3" s="760"/>
      <c r="CP3" s="760"/>
      <c r="CQ3" s="760"/>
      <c r="CR3" s="760"/>
      <c r="CS3" s="760"/>
      <c r="CT3" s="760"/>
      <c r="CU3" s="760"/>
      <c r="CV3" s="701" t="s">
        <v>229</v>
      </c>
      <c r="CW3" s="701" t="s">
        <v>387</v>
      </c>
      <c r="CX3" s="700" t="s">
        <v>14</v>
      </c>
      <c r="CY3" s="700"/>
      <c r="CZ3" s="700"/>
      <c r="DA3" s="700"/>
    </row>
    <row r="4" spans="1:105" ht="31.5" customHeight="1">
      <c r="A4" s="760"/>
      <c r="B4" s="760"/>
      <c r="C4" s="760"/>
      <c r="D4" s="760"/>
      <c r="E4" s="760"/>
      <c r="F4" s="760"/>
      <c r="G4" s="760"/>
      <c r="H4" s="760"/>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759"/>
      <c r="BA4" s="759"/>
      <c r="BB4" s="759"/>
      <c r="BC4" s="759"/>
      <c r="BD4" s="759"/>
      <c r="BE4" s="759"/>
      <c r="BF4" s="759"/>
      <c r="BG4" s="759"/>
      <c r="BH4" s="759"/>
      <c r="BI4" s="759"/>
      <c r="BJ4" s="759"/>
      <c r="BK4" s="759"/>
      <c r="BL4" s="759"/>
      <c r="BM4" s="759"/>
      <c r="BN4" s="759"/>
      <c r="BO4" s="759"/>
      <c r="BP4" s="759"/>
      <c r="BQ4" s="759"/>
      <c r="BR4" s="759"/>
      <c r="BS4" s="759"/>
      <c r="BT4" s="759"/>
      <c r="BU4" s="759"/>
      <c r="BV4" s="759"/>
      <c r="BW4" s="759"/>
      <c r="BX4" s="759"/>
      <c r="BY4" s="759"/>
      <c r="BZ4" s="759"/>
      <c r="CA4" s="759"/>
      <c r="CB4" s="759"/>
      <c r="CC4" s="759"/>
      <c r="CD4" s="759"/>
      <c r="CE4" s="759"/>
      <c r="CF4" s="759"/>
      <c r="CG4" s="759"/>
      <c r="CH4" s="759"/>
      <c r="CI4" s="759"/>
      <c r="CJ4" s="759"/>
      <c r="CK4" s="759"/>
      <c r="CL4" s="759"/>
      <c r="CM4" s="759"/>
      <c r="CN4" s="760"/>
      <c r="CO4" s="760"/>
      <c r="CP4" s="760"/>
      <c r="CQ4" s="760"/>
      <c r="CR4" s="760"/>
      <c r="CS4" s="760"/>
      <c r="CT4" s="760"/>
      <c r="CU4" s="760"/>
      <c r="CV4" s="701"/>
      <c r="CW4" s="701"/>
      <c r="CX4" s="34" t="s">
        <v>15</v>
      </c>
      <c r="CY4" s="34" t="s">
        <v>16</v>
      </c>
      <c r="CZ4" s="34" t="s">
        <v>17</v>
      </c>
      <c r="DA4" s="701" t="s">
        <v>18</v>
      </c>
    </row>
    <row r="5" spans="1:105" ht="53.25" customHeight="1">
      <c r="A5" s="760"/>
      <c r="B5" s="760"/>
      <c r="C5" s="760"/>
      <c r="D5" s="760"/>
      <c r="E5" s="760"/>
      <c r="F5" s="760"/>
      <c r="G5" s="760"/>
      <c r="H5" s="760"/>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759"/>
      <c r="AT5" s="759"/>
      <c r="AU5" s="759"/>
      <c r="AV5" s="759"/>
      <c r="AW5" s="759"/>
      <c r="AX5" s="759"/>
      <c r="AY5" s="759"/>
      <c r="AZ5" s="759"/>
      <c r="BA5" s="759"/>
      <c r="BB5" s="759"/>
      <c r="BC5" s="759"/>
      <c r="BD5" s="759"/>
      <c r="BE5" s="759"/>
      <c r="BF5" s="759"/>
      <c r="BG5" s="759"/>
      <c r="BH5" s="759"/>
      <c r="BI5" s="759"/>
      <c r="BJ5" s="759"/>
      <c r="BK5" s="759"/>
      <c r="BL5" s="759"/>
      <c r="BM5" s="759"/>
      <c r="BN5" s="759"/>
      <c r="BO5" s="759"/>
      <c r="BP5" s="759"/>
      <c r="BQ5" s="759"/>
      <c r="BR5" s="759"/>
      <c r="BS5" s="759"/>
      <c r="BT5" s="759"/>
      <c r="BU5" s="759"/>
      <c r="BV5" s="759"/>
      <c r="BW5" s="759"/>
      <c r="BX5" s="759"/>
      <c r="BY5" s="759"/>
      <c r="BZ5" s="759"/>
      <c r="CA5" s="759"/>
      <c r="CB5" s="759"/>
      <c r="CC5" s="759"/>
      <c r="CD5" s="759"/>
      <c r="CE5" s="759"/>
      <c r="CF5" s="759"/>
      <c r="CG5" s="759"/>
      <c r="CH5" s="759"/>
      <c r="CI5" s="759"/>
      <c r="CJ5" s="759"/>
      <c r="CK5" s="759"/>
      <c r="CL5" s="759"/>
      <c r="CM5" s="759"/>
      <c r="CN5" s="760"/>
      <c r="CO5" s="760"/>
      <c r="CP5" s="760"/>
      <c r="CQ5" s="760"/>
      <c r="CR5" s="760"/>
      <c r="CS5" s="760"/>
      <c r="CT5" s="760"/>
      <c r="CU5" s="760"/>
      <c r="CV5" s="701"/>
      <c r="CW5" s="701"/>
      <c r="CX5" s="31" t="s">
        <v>230</v>
      </c>
      <c r="CY5" s="104" t="s">
        <v>231</v>
      </c>
      <c r="CZ5" s="104" t="s">
        <v>232</v>
      </c>
      <c r="DA5" s="701"/>
    </row>
    <row r="6" spans="1:105" ht="18.75" customHeight="1">
      <c r="A6" s="808" t="s">
        <v>22</v>
      </c>
      <c r="B6" s="808"/>
      <c r="C6" s="808"/>
      <c r="D6" s="808"/>
      <c r="E6" s="808"/>
      <c r="F6" s="808"/>
      <c r="G6" s="808"/>
      <c r="H6" s="808"/>
      <c r="I6" s="808" t="s">
        <v>23</v>
      </c>
      <c r="J6" s="808"/>
      <c r="K6" s="808"/>
      <c r="L6" s="808"/>
      <c r="M6" s="808"/>
      <c r="N6" s="808"/>
      <c r="O6" s="808"/>
      <c r="P6" s="808"/>
      <c r="Q6" s="808"/>
      <c r="R6" s="808"/>
      <c r="S6" s="808"/>
      <c r="T6" s="808"/>
      <c r="U6" s="808"/>
      <c r="V6" s="808"/>
      <c r="W6" s="808"/>
      <c r="X6" s="808"/>
      <c r="Y6" s="808"/>
      <c r="Z6" s="808"/>
      <c r="AA6" s="808"/>
      <c r="AB6" s="808"/>
      <c r="AC6" s="808"/>
      <c r="AD6" s="808"/>
      <c r="AE6" s="808"/>
      <c r="AF6" s="808"/>
      <c r="AG6" s="808"/>
      <c r="AH6" s="808"/>
      <c r="AI6" s="808"/>
      <c r="AJ6" s="808"/>
      <c r="AK6" s="808"/>
      <c r="AL6" s="808"/>
      <c r="AM6" s="808"/>
      <c r="AN6" s="808"/>
      <c r="AO6" s="808"/>
      <c r="AP6" s="808"/>
      <c r="AQ6" s="808"/>
      <c r="AR6" s="808"/>
      <c r="AS6" s="808"/>
      <c r="AT6" s="808"/>
      <c r="AU6" s="808"/>
      <c r="AV6" s="808"/>
      <c r="AW6" s="808"/>
      <c r="AX6" s="808"/>
      <c r="AY6" s="808"/>
      <c r="AZ6" s="808"/>
      <c r="BA6" s="808"/>
      <c r="BB6" s="808"/>
      <c r="BC6" s="808"/>
      <c r="BD6" s="808"/>
      <c r="BE6" s="808"/>
      <c r="BF6" s="808"/>
      <c r="BG6" s="808"/>
      <c r="BH6" s="808"/>
      <c r="BI6" s="808"/>
      <c r="BJ6" s="808"/>
      <c r="BK6" s="808"/>
      <c r="BL6" s="808"/>
      <c r="BM6" s="808"/>
      <c r="BN6" s="808"/>
      <c r="BO6" s="808"/>
      <c r="BP6" s="808"/>
      <c r="BQ6" s="808"/>
      <c r="BR6" s="808"/>
      <c r="BS6" s="808"/>
      <c r="BT6" s="808"/>
      <c r="BU6" s="808"/>
      <c r="BV6" s="808"/>
      <c r="BW6" s="808"/>
      <c r="BX6" s="808"/>
      <c r="BY6" s="808"/>
      <c r="BZ6" s="808"/>
      <c r="CA6" s="808"/>
      <c r="CB6" s="808"/>
      <c r="CC6" s="808"/>
      <c r="CD6" s="808"/>
      <c r="CE6" s="808"/>
      <c r="CF6" s="808"/>
      <c r="CG6" s="808"/>
      <c r="CH6" s="808"/>
      <c r="CI6" s="808"/>
      <c r="CJ6" s="808"/>
      <c r="CK6" s="808"/>
      <c r="CL6" s="808"/>
      <c r="CM6" s="808"/>
      <c r="CN6" s="808" t="s">
        <v>24</v>
      </c>
      <c r="CO6" s="808"/>
      <c r="CP6" s="808"/>
      <c r="CQ6" s="808"/>
      <c r="CR6" s="808"/>
      <c r="CS6" s="808"/>
      <c r="CT6" s="808"/>
      <c r="CU6" s="808"/>
      <c r="CV6" s="32" t="s">
        <v>25</v>
      </c>
      <c r="CW6" s="32" t="s">
        <v>388</v>
      </c>
      <c r="CX6" s="32" t="s">
        <v>26</v>
      </c>
      <c r="CY6" s="32" t="s">
        <v>27</v>
      </c>
      <c r="CZ6" s="32" t="s">
        <v>28</v>
      </c>
      <c r="DA6" s="32" t="s">
        <v>29</v>
      </c>
    </row>
    <row r="7" spans="1:105" ht="28.5" customHeight="1">
      <c r="A7" s="798">
        <v>1</v>
      </c>
      <c r="B7" s="798"/>
      <c r="C7" s="798"/>
      <c r="D7" s="798"/>
      <c r="E7" s="798"/>
      <c r="F7" s="798"/>
      <c r="G7" s="798"/>
      <c r="H7" s="798"/>
      <c r="I7" s="805" t="s">
        <v>233</v>
      </c>
      <c r="J7" s="805"/>
      <c r="K7" s="805"/>
      <c r="L7" s="805"/>
      <c r="M7" s="805"/>
      <c r="N7" s="805"/>
      <c r="O7" s="805"/>
      <c r="P7" s="805"/>
      <c r="Q7" s="805"/>
      <c r="R7" s="805"/>
      <c r="S7" s="805"/>
      <c r="T7" s="805"/>
      <c r="U7" s="805"/>
      <c r="V7" s="805"/>
      <c r="W7" s="805"/>
      <c r="X7" s="805"/>
      <c r="Y7" s="805"/>
      <c r="Z7" s="805"/>
      <c r="AA7" s="805"/>
      <c r="AB7" s="805"/>
      <c r="AC7" s="805"/>
      <c r="AD7" s="805"/>
      <c r="AE7" s="805"/>
      <c r="AF7" s="805"/>
      <c r="AG7" s="805"/>
      <c r="AH7" s="805"/>
      <c r="AI7" s="805"/>
      <c r="AJ7" s="805"/>
      <c r="AK7" s="805"/>
      <c r="AL7" s="805"/>
      <c r="AM7" s="805"/>
      <c r="AN7" s="805"/>
      <c r="AO7" s="805"/>
      <c r="AP7" s="805"/>
      <c r="AQ7" s="805"/>
      <c r="AR7" s="805"/>
      <c r="AS7" s="805"/>
      <c r="AT7" s="805"/>
      <c r="AU7" s="805"/>
      <c r="AV7" s="805"/>
      <c r="AW7" s="805"/>
      <c r="AX7" s="805"/>
      <c r="AY7" s="805"/>
      <c r="AZ7" s="805"/>
      <c r="BA7" s="805"/>
      <c r="BB7" s="805"/>
      <c r="BC7" s="805"/>
      <c r="BD7" s="805"/>
      <c r="BE7" s="805"/>
      <c r="BF7" s="805"/>
      <c r="BG7" s="805"/>
      <c r="BH7" s="805"/>
      <c r="BI7" s="805"/>
      <c r="BJ7" s="805"/>
      <c r="BK7" s="805"/>
      <c r="BL7" s="805"/>
      <c r="BM7" s="805"/>
      <c r="BN7" s="805"/>
      <c r="BO7" s="805"/>
      <c r="BP7" s="805"/>
      <c r="BQ7" s="805"/>
      <c r="BR7" s="805"/>
      <c r="BS7" s="805"/>
      <c r="BT7" s="805"/>
      <c r="BU7" s="805"/>
      <c r="BV7" s="805"/>
      <c r="BW7" s="805"/>
      <c r="BX7" s="805"/>
      <c r="BY7" s="805"/>
      <c r="BZ7" s="805"/>
      <c r="CA7" s="805"/>
      <c r="CB7" s="805"/>
      <c r="CC7" s="805"/>
      <c r="CD7" s="805"/>
      <c r="CE7" s="805"/>
      <c r="CF7" s="805"/>
      <c r="CG7" s="805"/>
      <c r="CH7" s="805"/>
      <c r="CI7" s="805"/>
      <c r="CJ7" s="805"/>
      <c r="CK7" s="805"/>
      <c r="CL7" s="805"/>
      <c r="CM7" s="805"/>
      <c r="CN7" s="798" t="s">
        <v>234</v>
      </c>
      <c r="CO7" s="798"/>
      <c r="CP7" s="798"/>
      <c r="CQ7" s="798"/>
      <c r="CR7" s="798"/>
      <c r="CS7" s="798"/>
      <c r="CT7" s="798"/>
      <c r="CU7" s="798"/>
      <c r="CV7" s="34" t="s">
        <v>235</v>
      </c>
      <c r="CW7" s="34" t="s">
        <v>32</v>
      </c>
      <c r="CX7" s="35">
        <v>26641417.629999999</v>
      </c>
      <c r="CY7" s="35">
        <v>13005419.82</v>
      </c>
      <c r="CZ7" s="35">
        <v>12930515.15</v>
      </c>
      <c r="DA7" s="35">
        <v>0</v>
      </c>
    </row>
    <row r="8" spans="1:105" ht="24" customHeight="1">
      <c r="A8" s="793" t="s">
        <v>236</v>
      </c>
      <c r="B8" s="793"/>
      <c r="C8" s="793"/>
      <c r="D8" s="793"/>
      <c r="E8" s="793"/>
      <c r="F8" s="793"/>
      <c r="G8" s="793"/>
      <c r="H8" s="793"/>
      <c r="I8" s="806" t="s">
        <v>237</v>
      </c>
      <c r="J8" s="804"/>
      <c r="K8" s="804"/>
      <c r="L8" s="804"/>
      <c r="M8" s="804"/>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4"/>
      <c r="AN8" s="804"/>
      <c r="AO8" s="804"/>
      <c r="AP8" s="804"/>
      <c r="AQ8" s="804"/>
      <c r="AR8" s="804"/>
      <c r="AS8" s="804"/>
      <c r="AT8" s="804"/>
      <c r="AU8" s="804"/>
      <c r="AV8" s="804"/>
      <c r="AW8" s="804"/>
      <c r="AX8" s="804"/>
      <c r="AY8" s="804"/>
      <c r="AZ8" s="804"/>
      <c r="BA8" s="804"/>
      <c r="BB8" s="804"/>
      <c r="BC8" s="804"/>
      <c r="BD8" s="804"/>
      <c r="BE8" s="804"/>
      <c r="BF8" s="804"/>
      <c r="BG8" s="804"/>
      <c r="BH8" s="804"/>
      <c r="BI8" s="804"/>
      <c r="BJ8" s="804"/>
      <c r="BK8" s="804"/>
      <c r="BL8" s="804"/>
      <c r="BM8" s="804"/>
      <c r="BN8" s="804"/>
      <c r="BO8" s="804"/>
      <c r="BP8" s="804"/>
      <c r="BQ8" s="804"/>
      <c r="BR8" s="804"/>
      <c r="BS8" s="804"/>
      <c r="BT8" s="804"/>
      <c r="BU8" s="804"/>
      <c r="BV8" s="804"/>
      <c r="BW8" s="804"/>
      <c r="BX8" s="804"/>
      <c r="BY8" s="804"/>
      <c r="BZ8" s="804"/>
      <c r="CA8" s="804"/>
      <c r="CB8" s="804"/>
      <c r="CC8" s="804"/>
      <c r="CD8" s="804"/>
      <c r="CE8" s="804"/>
      <c r="CF8" s="804"/>
      <c r="CG8" s="804"/>
      <c r="CH8" s="804"/>
      <c r="CI8" s="804"/>
      <c r="CJ8" s="804"/>
      <c r="CK8" s="804"/>
      <c r="CL8" s="804"/>
      <c r="CM8" s="804"/>
      <c r="CN8" s="793" t="s">
        <v>238</v>
      </c>
      <c r="CO8" s="793"/>
      <c r="CP8" s="793"/>
      <c r="CQ8" s="793"/>
      <c r="CR8" s="793"/>
      <c r="CS8" s="793"/>
      <c r="CT8" s="793"/>
      <c r="CU8" s="793"/>
      <c r="CV8" s="34" t="s">
        <v>239</v>
      </c>
      <c r="CW8" s="34" t="s">
        <v>32</v>
      </c>
      <c r="CX8" s="35">
        <v>0</v>
      </c>
      <c r="CY8" s="35">
        <v>0</v>
      </c>
      <c r="CZ8" s="35">
        <v>0</v>
      </c>
      <c r="DA8" s="35">
        <v>0</v>
      </c>
    </row>
    <row r="9" spans="1:105" ht="24" customHeight="1">
      <c r="A9" s="793" t="s">
        <v>240</v>
      </c>
      <c r="B9" s="793"/>
      <c r="C9" s="793"/>
      <c r="D9" s="793"/>
      <c r="E9" s="793"/>
      <c r="F9" s="793"/>
      <c r="G9" s="793"/>
      <c r="H9" s="793"/>
      <c r="I9" s="803" t="s">
        <v>241</v>
      </c>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4"/>
      <c r="AL9" s="804"/>
      <c r="AM9" s="804"/>
      <c r="AN9" s="804"/>
      <c r="AO9" s="804"/>
      <c r="AP9" s="804"/>
      <c r="AQ9" s="804"/>
      <c r="AR9" s="804"/>
      <c r="AS9" s="804"/>
      <c r="AT9" s="804"/>
      <c r="AU9" s="804"/>
      <c r="AV9" s="804"/>
      <c r="AW9" s="804"/>
      <c r="AX9" s="804"/>
      <c r="AY9" s="804"/>
      <c r="AZ9" s="804"/>
      <c r="BA9" s="804"/>
      <c r="BB9" s="804"/>
      <c r="BC9" s="804"/>
      <c r="BD9" s="804"/>
      <c r="BE9" s="804"/>
      <c r="BF9" s="804"/>
      <c r="BG9" s="804"/>
      <c r="BH9" s="804"/>
      <c r="BI9" s="804"/>
      <c r="BJ9" s="804"/>
      <c r="BK9" s="804"/>
      <c r="BL9" s="804"/>
      <c r="BM9" s="804"/>
      <c r="BN9" s="804"/>
      <c r="BO9" s="804"/>
      <c r="BP9" s="804"/>
      <c r="BQ9" s="804"/>
      <c r="BR9" s="804"/>
      <c r="BS9" s="804"/>
      <c r="BT9" s="804"/>
      <c r="BU9" s="804"/>
      <c r="BV9" s="804"/>
      <c r="BW9" s="804"/>
      <c r="BX9" s="804"/>
      <c r="BY9" s="804"/>
      <c r="BZ9" s="804"/>
      <c r="CA9" s="804"/>
      <c r="CB9" s="804"/>
      <c r="CC9" s="804"/>
      <c r="CD9" s="804"/>
      <c r="CE9" s="804"/>
      <c r="CF9" s="804"/>
      <c r="CG9" s="804"/>
      <c r="CH9" s="804"/>
      <c r="CI9" s="804"/>
      <c r="CJ9" s="804"/>
      <c r="CK9" s="804"/>
      <c r="CL9" s="804"/>
      <c r="CM9" s="804"/>
      <c r="CN9" s="793" t="s">
        <v>242</v>
      </c>
      <c r="CO9" s="793"/>
      <c r="CP9" s="793"/>
      <c r="CQ9" s="793"/>
      <c r="CR9" s="793"/>
      <c r="CS9" s="793"/>
      <c r="CT9" s="793"/>
      <c r="CU9" s="793"/>
      <c r="CV9" s="34" t="s">
        <v>235</v>
      </c>
      <c r="CW9" s="34" t="s">
        <v>32</v>
      </c>
      <c r="CX9" s="35">
        <v>0</v>
      </c>
      <c r="CY9" s="35">
        <v>0</v>
      </c>
      <c r="CZ9" s="35">
        <v>0</v>
      </c>
      <c r="DA9" s="35">
        <v>0</v>
      </c>
    </row>
    <row r="10" spans="1:105" ht="24" customHeight="1">
      <c r="A10" s="793" t="s">
        <v>243</v>
      </c>
      <c r="B10" s="793"/>
      <c r="C10" s="793"/>
      <c r="D10" s="793"/>
      <c r="E10" s="793"/>
      <c r="F10" s="793"/>
      <c r="G10" s="793"/>
      <c r="H10" s="793"/>
      <c r="I10" s="803" t="s">
        <v>244</v>
      </c>
      <c r="J10" s="804"/>
      <c r="K10" s="804"/>
      <c r="L10" s="804"/>
      <c r="M10" s="804"/>
      <c r="N10" s="804"/>
      <c r="O10" s="804"/>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4"/>
      <c r="AY10" s="804"/>
      <c r="AZ10" s="804"/>
      <c r="BA10" s="804"/>
      <c r="BB10" s="804"/>
      <c r="BC10" s="804"/>
      <c r="BD10" s="804"/>
      <c r="BE10" s="804"/>
      <c r="BF10" s="804"/>
      <c r="BG10" s="804"/>
      <c r="BH10" s="804"/>
      <c r="BI10" s="804"/>
      <c r="BJ10" s="804"/>
      <c r="BK10" s="804"/>
      <c r="BL10" s="804"/>
      <c r="BM10" s="804"/>
      <c r="BN10" s="804"/>
      <c r="BO10" s="804"/>
      <c r="BP10" s="804"/>
      <c r="BQ10" s="804"/>
      <c r="BR10" s="804"/>
      <c r="BS10" s="804"/>
      <c r="BT10" s="804"/>
      <c r="BU10" s="804"/>
      <c r="BV10" s="804"/>
      <c r="BW10" s="804"/>
      <c r="BX10" s="804"/>
      <c r="BY10" s="804"/>
      <c r="BZ10" s="804"/>
      <c r="CA10" s="804"/>
      <c r="CB10" s="804"/>
      <c r="CC10" s="804"/>
      <c r="CD10" s="804"/>
      <c r="CE10" s="804"/>
      <c r="CF10" s="804"/>
      <c r="CG10" s="804"/>
      <c r="CH10" s="804"/>
      <c r="CI10" s="804"/>
      <c r="CJ10" s="804"/>
      <c r="CK10" s="804"/>
      <c r="CL10" s="804"/>
      <c r="CM10" s="804"/>
      <c r="CN10" s="793" t="s">
        <v>245</v>
      </c>
      <c r="CO10" s="793"/>
      <c r="CP10" s="793"/>
      <c r="CQ10" s="793"/>
      <c r="CR10" s="793"/>
      <c r="CS10" s="793"/>
      <c r="CT10" s="793"/>
      <c r="CU10" s="793"/>
      <c r="CV10" s="34" t="s">
        <v>239</v>
      </c>
      <c r="CW10" s="34" t="s">
        <v>32</v>
      </c>
      <c r="CX10" s="35">
        <v>1066553.75</v>
      </c>
      <c r="CY10" s="35">
        <v>0</v>
      </c>
      <c r="CZ10" s="35">
        <v>0</v>
      </c>
      <c r="DA10" s="35">
        <v>0</v>
      </c>
    </row>
    <row r="11" spans="1:105" ht="24" customHeight="1">
      <c r="A11" s="793" t="s">
        <v>246</v>
      </c>
      <c r="B11" s="793"/>
      <c r="C11" s="793"/>
      <c r="D11" s="793"/>
      <c r="E11" s="793"/>
      <c r="F11" s="793"/>
      <c r="G11" s="793"/>
      <c r="H11" s="793"/>
      <c r="I11" s="803" t="s">
        <v>247</v>
      </c>
      <c r="J11" s="804"/>
      <c r="K11" s="804"/>
      <c r="L11" s="804"/>
      <c r="M11" s="804"/>
      <c r="N11" s="804"/>
      <c r="O11" s="804"/>
      <c r="P11" s="804"/>
      <c r="Q11" s="804"/>
      <c r="R11" s="804"/>
      <c r="S11" s="804"/>
      <c r="T11" s="804"/>
      <c r="U11" s="804"/>
      <c r="V11" s="804"/>
      <c r="W11" s="804"/>
      <c r="X11" s="804"/>
      <c r="Y11" s="804"/>
      <c r="Z11" s="804"/>
      <c r="AA11" s="804"/>
      <c r="AB11" s="804"/>
      <c r="AC11" s="804"/>
      <c r="AD11" s="804"/>
      <c r="AE11" s="804"/>
      <c r="AF11" s="804"/>
      <c r="AG11" s="804"/>
      <c r="AH11" s="804"/>
      <c r="AI11" s="804"/>
      <c r="AJ11" s="804"/>
      <c r="AK11" s="804"/>
      <c r="AL11" s="804"/>
      <c r="AM11" s="804"/>
      <c r="AN11" s="804"/>
      <c r="AO11" s="804"/>
      <c r="AP11" s="804"/>
      <c r="AQ11" s="804"/>
      <c r="AR11" s="804"/>
      <c r="AS11" s="804"/>
      <c r="AT11" s="804"/>
      <c r="AU11" s="804"/>
      <c r="AV11" s="804"/>
      <c r="AW11" s="804"/>
      <c r="AX11" s="804"/>
      <c r="AY11" s="804"/>
      <c r="AZ11" s="804"/>
      <c r="BA11" s="804"/>
      <c r="BB11" s="804"/>
      <c r="BC11" s="804"/>
      <c r="BD11" s="804"/>
      <c r="BE11" s="804"/>
      <c r="BF11" s="804"/>
      <c r="BG11" s="804"/>
      <c r="BH11" s="804"/>
      <c r="BI11" s="804"/>
      <c r="BJ11" s="804"/>
      <c r="BK11" s="804"/>
      <c r="BL11" s="804"/>
      <c r="BM11" s="804"/>
      <c r="BN11" s="804"/>
      <c r="BO11" s="804"/>
      <c r="BP11" s="804"/>
      <c r="BQ11" s="804"/>
      <c r="BR11" s="804"/>
      <c r="BS11" s="804"/>
      <c r="BT11" s="804"/>
      <c r="BU11" s="804"/>
      <c r="BV11" s="804"/>
      <c r="BW11" s="804"/>
      <c r="BX11" s="804"/>
      <c r="BY11" s="804"/>
      <c r="BZ11" s="804"/>
      <c r="CA11" s="804"/>
      <c r="CB11" s="804"/>
      <c r="CC11" s="804"/>
      <c r="CD11" s="804"/>
      <c r="CE11" s="804"/>
      <c r="CF11" s="804"/>
      <c r="CG11" s="804"/>
      <c r="CH11" s="804"/>
      <c r="CI11" s="804"/>
      <c r="CJ11" s="804"/>
      <c r="CK11" s="804"/>
      <c r="CL11" s="804"/>
      <c r="CM11" s="804"/>
      <c r="CN11" s="793" t="s">
        <v>248</v>
      </c>
      <c r="CO11" s="793"/>
      <c r="CP11" s="793"/>
      <c r="CQ11" s="793"/>
      <c r="CR11" s="793"/>
      <c r="CS11" s="793"/>
      <c r="CT11" s="793"/>
      <c r="CU11" s="793"/>
      <c r="CV11" s="34" t="s">
        <v>235</v>
      </c>
      <c r="CW11" s="34" t="s">
        <v>32</v>
      </c>
      <c r="CX11" s="35">
        <v>25574863.879999999</v>
      </c>
      <c r="CY11" s="35">
        <v>13005419.82</v>
      </c>
      <c r="CZ11" s="35">
        <v>12930515.15</v>
      </c>
      <c r="DA11" s="35">
        <v>0</v>
      </c>
    </row>
    <row r="12" spans="1:105" ht="24" customHeight="1">
      <c r="A12" s="793" t="s">
        <v>249</v>
      </c>
      <c r="B12" s="793"/>
      <c r="C12" s="793"/>
      <c r="D12" s="793"/>
      <c r="E12" s="793"/>
      <c r="F12" s="793"/>
      <c r="G12" s="793"/>
      <c r="H12" s="793"/>
      <c r="I12" s="803" t="s">
        <v>250</v>
      </c>
      <c r="J12" s="804"/>
      <c r="K12" s="804"/>
      <c r="L12" s="804"/>
      <c r="M12" s="804"/>
      <c r="N12" s="804"/>
      <c r="O12" s="804"/>
      <c r="P12" s="804"/>
      <c r="Q12" s="804"/>
      <c r="R12" s="804"/>
      <c r="S12" s="804"/>
      <c r="T12" s="804"/>
      <c r="U12" s="804"/>
      <c r="V12" s="804"/>
      <c r="W12" s="804"/>
      <c r="X12" s="804"/>
      <c r="Y12" s="804"/>
      <c r="Z12" s="804"/>
      <c r="AA12" s="804"/>
      <c r="AB12" s="804"/>
      <c r="AC12" s="804"/>
      <c r="AD12" s="804"/>
      <c r="AE12" s="804"/>
      <c r="AF12" s="804"/>
      <c r="AG12" s="804"/>
      <c r="AH12" s="804"/>
      <c r="AI12" s="804"/>
      <c r="AJ12" s="804"/>
      <c r="AK12" s="804"/>
      <c r="AL12" s="804"/>
      <c r="AM12" s="804"/>
      <c r="AN12" s="804"/>
      <c r="AO12" s="804"/>
      <c r="AP12" s="804"/>
      <c r="AQ12" s="804"/>
      <c r="AR12" s="804"/>
      <c r="AS12" s="804"/>
      <c r="AT12" s="804"/>
      <c r="AU12" s="804"/>
      <c r="AV12" s="804"/>
      <c r="AW12" s="804"/>
      <c r="AX12" s="804"/>
      <c r="AY12" s="804"/>
      <c r="AZ12" s="804"/>
      <c r="BA12" s="804"/>
      <c r="BB12" s="804"/>
      <c r="BC12" s="804"/>
      <c r="BD12" s="804"/>
      <c r="BE12" s="804"/>
      <c r="BF12" s="804"/>
      <c r="BG12" s="804"/>
      <c r="BH12" s="804"/>
      <c r="BI12" s="804"/>
      <c r="BJ12" s="804"/>
      <c r="BK12" s="804"/>
      <c r="BL12" s="804"/>
      <c r="BM12" s="804"/>
      <c r="BN12" s="804"/>
      <c r="BO12" s="804"/>
      <c r="BP12" s="804"/>
      <c r="BQ12" s="804"/>
      <c r="BR12" s="804"/>
      <c r="BS12" s="804"/>
      <c r="BT12" s="804"/>
      <c r="BU12" s="804"/>
      <c r="BV12" s="804"/>
      <c r="BW12" s="804"/>
      <c r="BX12" s="804"/>
      <c r="BY12" s="804"/>
      <c r="BZ12" s="804"/>
      <c r="CA12" s="804"/>
      <c r="CB12" s="804"/>
      <c r="CC12" s="804"/>
      <c r="CD12" s="804"/>
      <c r="CE12" s="804"/>
      <c r="CF12" s="804"/>
      <c r="CG12" s="804"/>
      <c r="CH12" s="804"/>
      <c r="CI12" s="804"/>
      <c r="CJ12" s="804"/>
      <c r="CK12" s="804"/>
      <c r="CL12" s="804"/>
      <c r="CM12" s="804"/>
      <c r="CN12" s="793" t="s">
        <v>251</v>
      </c>
      <c r="CO12" s="793"/>
      <c r="CP12" s="793"/>
      <c r="CQ12" s="793"/>
      <c r="CR12" s="793"/>
      <c r="CS12" s="793"/>
      <c r="CT12" s="793"/>
      <c r="CU12" s="793"/>
      <c r="CV12" s="34" t="s">
        <v>235</v>
      </c>
      <c r="CW12" s="34" t="s">
        <v>32</v>
      </c>
      <c r="CX12" s="35">
        <v>18949353.120000001</v>
      </c>
      <c r="CY12" s="35">
        <v>7945440</v>
      </c>
      <c r="CZ12" s="35">
        <v>8148592.71</v>
      </c>
      <c r="DA12" s="35">
        <v>0</v>
      </c>
    </row>
    <row r="13" spans="1:105" ht="24" customHeight="1">
      <c r="A13" s="793" t="s">
        <v>252</v>
      </c>
      <c r="B13" s="793"/>
      <c r="C13" s="793"/>
      <c r="D13" s="793"/>
      <c r="E13" s="793"/>
      <c r="F13" s="793"/>
      <c r="G13" s="793"/>
      <c r="H13" s="793"/>
      <c r="I13" s="803" t="s">
        <v>253</v>
      </c>
      <c r="J13" s="804"/>
      <c r="K13" s="804"/>
      <c r="L13" s="804"/>
      <c r="M13" s="804"/>
      <c r="N13" s="804"/>
      <c r="O13" s="804"/>
      <c r="P13" s="804"/>
      <c r="Q13" s="804"/>
      <c r="R13" s="804"/>
      <c r="S13" s="804"/>
      <c r="T13" s="804"/>
      <c r="U13" s="804"/>
      <c r="V13" s="804"/>
      <c r="W13" s="804"/>
      <c r="X13" s="804"/>
      <c r="Y13" s="804"/>
      <c r="Z13" s="804"/>
      <c r="AA13" s="804"/>
      <c r="AB13" s="804"/>
      <c r="AC13" s="804"/>
      <c r="AD13" s="804"/>
      <c r="AE13" s="804"/>
      <c r="AF13" s="804"/>
      <c r="AG13" s="804"/>
      <c r="AH13" s="804"/>
      <c r="AI13" s="804"/>
      <c r="AJ13" s="804"/>
      <c r="AK13" s="804"/>
      <c r="AL13" s="804"/>
      <c r="AM13" s="804"/>
      <c r="AN13" s="804"/>
      <c r="AO13" s="804"/>
      <c r="AP13" s="804"/>
      <c r="AQ13" s="804"/>
      <c r="AR13" s="804"/>
      <c r="AS13" s="804"/>
      <c r="AT13" s="804"/>
      <c r="AU13" s="804"/>
      <c r="AV13" s="804"/>
      <c r="AW13" s="804"/>
      <c r="AX13" s="804"/>
      <c r="AY13" s="804"/>
      <c r="AZ13" s="804"/>
      <c r="BA13" s="804"/>
      <c r="BB13" s="804"/>
      <c r="BC13" s="804"/>
      <c r="BD13" s="804"/>
      <c r="BE13" s="804"/>
      <c r="BF13" s="804"/>
      <c r="BG13" s="804"/>
      <c r="BH13" s="804"/>
      <c r="BI13" s="804"/>
      <c r="BJ13" s="804"/>
      <c r="BK13" s="804"/>
      <c r="BL13" s="804"/>
      <c r="BM13" s="804"/>
      <c r="BN13" s="804"/>
      <c r="BO13" s="804"/>
      <c r="BP13" s="804"/>
      <c r="BQ13" s="804"/>
      <c r="BR13" s="804"/>
      <c r="BS13" s="804"/>
      <c r="BT13" s="804"/>
      <c r="BU13" s="804"/>
      <c r="BV13" s="804"/>
      <c r="BW13" s="804"/>
      <c r="BX13" s="804"/>
      <c r="BY13" s="804"/>
      <c r="BZ13" s="804"/>
      <c r="CA13" s="804"/>
      <c r="CB13" s="804"/>
      <c r="CC13" s="804"/>
      <c r="CD13" s="804"/>
      <c r="CE13" s="804"/>
      <c r="CF13" s="804"/>
      <c r="CG13" s="804"/>
      <c r="CH13" s="804"/>
      <c r="CI13" s="804"/>
      <c r="CJ13" s="804"/>
      <c r="CK13" s="804"/>
      <c r="CL13" s="804"/>
      <c r="CM13" s="804"/>
      <c r="CN13" s="793" t="s">
        <v>254</v>
      </c>
      <c r="CO13" s="793"/>
      <c r="CP13" s="793"/>
      <c r="CQ13" s="793"/>
      <c r="CR13" s="793"/>
      <c r="CS13" s="793"/>
      <c r="CT13" s="793"/>
      <c r="CU13" s="793"/>
      <c r="CV13" s="34" t="s">
        <v>235</v>
      </c>
      <c r="CW13" s="34" t="s">
        <v>32</v>
      </c>
      <c r="CX13" s="35">
        <v>0</v>
      </c>
      <c r="CY13" s="35">
        <v>0</v>
      </c>
      <c r="CZ13" s="35">
        <v>0</v>
      </c>
      <c r="DA13" s="35">
        <v>0</v>
      </c>
    </row>
    <row r="14" spans="1:105" ht="24" customHeight="1">
      <c r="A14" s="793" t="s">
        <v>255</v>
      </c>
      <c r="B14" s="793"/>
      <c r="C14" s="793"/>
      <c r="D14" s="793"/>
      <c r="E14" s="793"/>
      <c r="F14" s="793"/>
      <c r="G14" s="793"/>
      <c r="H14" s="793"/>
      <c r="I14" s="803" t="s">
        <v>256</v>
      </c>
      <c r="J14" s="804"/>
      <c r="K14" s="804"/>
      <c r="L14" s="804"/>
      <c r="M14" s="804"/>
      <c r="N14" s="804"/>
      <c r="O14" s="804"/>
      <c r="P14" s="804"/>
      <c r="Q14" s="804"/>
      <c r="R14" s="804"/>
      <c r="S14" s="804"/>
      <c r="T14" s="804"/>
      <c r="U14" s="804"/>
      <c r="V14" s="804"/>
      <c r="W14" s="804"/>
      <c r="X14" s="804"/>
      <c r="Y14" s="804"/>
      <c r="Z14" s="804"/>
      <c r="AA14" s="804"/>
      <c r="AB14" s="804"/>
      <c r="AC14" s="804"/>
      <c r="AD14" s="804"/>
      <c r="AE14" s="804"/>
      <c r="AF14" s="804"/>
      <c r="AG14" s="804"/>
      <c r="AH14" s="804"/>
      <c r="AI14" s="804"/>
      <c r="AJ14" s="804"/>
      <c r="AK14" s="804"/>
      <c r="AL14" s="804"/>
      <c r="AM14" s="804"/>
      <c r="AN14" s="804"/>
      <c r="AO14" s="804"/>
      <c r="AP14" s="804"/>
      <c r="AQ14" s="804"/>
      <c r="AR14" s="804"/>
      <c r="AS14" s="804"/>
      <c r="AT14" s="804"/>
      <c r="AU14" s="804"/>
      <c r="AV14" s="804"/>
      <c r="AW14" s="804"/>
      <c r="AX14" s="804"/>
      <c r="AY14" s="804"/>
      <c r="AZ14" s="804"/>
      <c r="BA14" s="804"/>
      <c r="BB14" s="804"/>
      <c r="BC14" s="804"/>
      <c r="BD14" s="804"/>
      <c r="BE14" s="804"/>
      <c r="BF14" s="804"/>
      <c r="BG14" s="804"/>
      <c r="BH14" s="804"/>
      <c r="BI14" s="804"/>
      <c r="BJ14" s="804"/>
      <c r="BK14" s="804"/>
      <c r="BL14" s="804"/>
      <c r="BM14" s="804"/>
      <c r="BN14" s="804"/>
      <c r="BO14" s="804"/>
      <c r="BP14" s="804"/>
      <c r="BQ14" s="804"/>
      <c r="BR14" s="804"/>
      <c r="BS14" s="804"/>
      <c r="BT14" s="804"/>
      <c r="BU14" s="804"/>
      <c r="BV14" s="804"/>
      <c r="BW14" s="804"/>
      <c r="BX14" s="804"/>
      <c r="BY14" s="804"/>
      <c r="BZ14" s="804"/>
      <c r="CA14" s="804"/>
      <c r="CB14" s="804"/>
      <c r="CC14" s="804"/>
      <c r="CD14" s="804"/>
      <c r="CE14" s="804"/>
      <c r="CF14" s="804"/>
      <c r="CG14" s="804"/>
      <c r="CH14" s="804"/>
      <c r="CI14" s="804"/>
      <c r="CJ14" s="804"/>
      <c r="CK14" s="804"/>
      <c r="CL14" s="804"/>
      <c r="CM14" s="804"/>
      <c r="CN14" s="793" t="s">
        <v>257</v>
      </c>
      <c r="CO14" s="793"/>
      <c r="CP14" s="793"/>
      <c r="CQ14" s="793"/>
      <c r="CR14" s="793"/>
      <c r="CS14" s="793"/>
      <c r="CT14" s="793"/>
      <c r="CU14" s="793"/>
      <c r="CV14" s="34" t="s">
        <v>235</v>
      </c>
      <c r="CW14" s="34" t="s">
        <v>32</v>
      </c>
      <c r="CX14" s="35">
        <v>18949353.120000001</v>
      </c>
      <c r="CY14" s="35">
        <v>7945440</v>
      </c>
      <c r="CZ14" s="35">
        <v>8148592.71</v>
      </c>
      <c r="DA14" s="35">
        <v>0</v>
      </c>
    </row>
    <row r="15" spans="1:105" ht="24" customHeight="1">
      <c r="A15" s="793" t="s">
        <v>258</v>
      </c>
      <c r="B15" s="793"/>
      <c r="C15" s="793"/>
      <c r="D15" s="793"/>
      <c r="E15" s="793"/>
      <c r="F15" s="793"/>
      <c r="G15" s="793"/>
      <c r="H15" s="793"/>
      <c r="I15" s="803" t="s">
        <v>259</v>
      </c>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c r="AM15" s="804"/>
      <c r="AN15" s="804"/>
      <c r="AO15" s="804"/>
      <c r="AP15" s="804"/>
      <c r="AQ15" s="804"/>
      <c r="AR15" s="804"/>
      <c r="AS15" s="804"/>
      <c r="AT15" s="804"/>
      <c r="AU15" s="804"/>
      <c r="AV15" s="804"/>
      <c r="AW15" s="804"/>
      <c r="AX15" s="804"/>
      <c r="AY15" s="804"/>
      <c r="AZ15" s="804"/>
      <c r="BA15" s="804"/>
      <c r="BB15" s="804"/>
      <c r="BC15" s="804"/>
      <c r="BD15" s="804"/>
      <c r="BE15" s="804"/>
      <c r="BF15" s="804"/>
      <c r="BG15" s="804"/>
      <c r="BH15" s="804"/>
      <c r="BI15" s="804"/>
      <c r="BJ15" s="804"/>
      <c r="BK15" s="804"/>
      <c r="BL15" s="804"/>
      <c r="BM15" s="804"/>
      <c r="BN15" s="804"/>
      <c r="BO15" s="804"/>
      <c r="BP15" s="804"/>
      <c r="BQ15" s="804"/>
      <c r="BR15" s="804"/>
      <c r="BS15" s="804"/>
      <c r="BT15" s="804"/>
      <c r="BU15" s="804"/>
      <c r="BV15" s="804"/>
      <c r="BW15" s="804"/>
      <c r="BX15" s="804"/>
      <c r="BY15" s="804"/>
      <c r="BZ15" s="804"/>
      <c r="CA15" s="804"/>
      <c r="CB15" s="804"/>
      <c r="CC15" s="804"/>
      <c r="CD15" s="804"/>
      <c r="CE15" s="804"/>
      <c r="CF15" s="804"/>
      <c r="CG15" s="804"/>
      <c r="CH15" s="804"/>
      <c r="CI15" s="804"/>
      <c r="CJ15" s="804"/>
      <c r="CK15" s="804"/>
      <c r="CL15" s="804"/>
      <c r="CM15" s="804"/>
      <c r="CN15" s="793" t="s">
        <v>260</v>
      </c>
      <c r="CO15" s="793"/>
      <c r="CP15" s="793"/>
      <c r="CQ15" s="793"/>
      <c r="CR15" s="793"/>
      <c r="CS15" s="793"/>
      <c r="CT15" s="793"/>
      <c r="CU15" s="793"/>
      <c r="CV15" s="34" t="s">
        <v>235</v>
      </c>
      <c r="CW15" s="34" t="s">
        <v>32</v>
      </c>
      <c r="CX15" s="35">
        <v>1101884.3799999999</v>
      </c>
      <c r="CY15" s="35">
        <v>0</v>
      </c>
      <c r="CZ15" s="35">
        <v>0</v>
      </c>
      <c r="DA15" s="35">
        <v>0</v>
      </c>
    </row>
    <row r="16" spans="1:105" ht="24" customHeight="1">
      <c r="A16" s="793" t="s">
        <v>261</v>
      </c>
      <c r="B16" s="793"/>
      <c r="C16" s="793"/>
      <c r="D16" s="793"/>
      <c r="E16" s="793"/>
      <c r="F16" s="793"/>
      <c r="G16" s="793"/>
      <c r="H16" s="793"/>
      <c r="I16" s="803" t="s">
        <v>253</v>
      </c>
      <c r="J16" s="804"/>
      <c r="K16" s="804"/>
      <c r="L16" s="804"/>
      <c r="M16" s="804"/>
      <c r="N16" s="804"/>
      <c r="O16" s="804"/>
      <c r="P16" s="804"/>
      <c r="Q16" s="804"/>
      <c r="R16" s="804"/>
      <c r="S16" s="804"/>
      <c r="T16" s="804"/>
      <c r="U16" s="804"/>
      <c r="V16" s="804"/>
      <c r="W16" s="804"/>
      <c r="X16" s="804"/>
      <c r="Y16" s="804"/>
      <c r="Z16" s="804"/>
      <c r="AA16" s="804"/>
      <c r="AB16" s="804"/>
      <c r="AC16" s="804"/>
      <c r="AD16" s="804"/>
      <c r="AE16" s="804"/>
      <c r="AF16" s="804"/>
      <c r="AG16" s="804"/>
      <c r="AH16" s="804"/>
      <c r="AI16" s="804"/>
      <c r="AJ16" s="804"/>
      <c r="AK16" s="804"/>
      <c r="AL16" s="804"/>
      <c r="AM16" s="804"/>
      <c r="AN16" s="804"/>
      <c r="AO16" s="804"/>
      <c r="AP16" s="804"/>
      <c r="AQ16" s="804"/>
      <c r="AR16" s="804"/>
      <c r="AS16" s="804"/>
      <c r="AT16" s="804"/>
      <c r="AU16" s="804"/>
      <c r="AV16" s="804"/>
      <c r="AW16" s="804"/>
      <c r="AX16" s="804"/>
      <c r="AY16" s="804"/>
      <c r="AZ16" s="804"/>
      <c r="BA16" s="804"/>
      <c r="BB16" s="804"/>
      <c r="BC16" s="804"/>
      <c r="BD16" s="804"/>
      <c r="BE16" s="804"/>
      <c r="BF16" s="804"/>
      <c r="BG16" s="804"/>
      <c r="BH16" s="804"/>
      <c r="BI16" s="804"/>
      <c r="BJ16" s="804"/>
      <c r="BK16" s="804"/>
      <c r="BL16" s="804"/>
      <c r="BM16" s="804"/>
      <c r="BN16" s="804"/>
      <c r="BO16" s="804"/>
      <c r="BP16" s="804"/>
      <c r="BQ16" s="804"/>
      <c r="BR16" s="804"/>
      <c r="BS16" s="804"/>
      <c r="BT16" s="804"/>
      <c r="BU16" s="804"/>
      <c r="BV16" s="804"/>
      <c r="BW16" s="804"/>
      <c r="BX16" s="804"/>
      <c r="BY16" s="804"/>
      <c r="BZ16" s="804"/>
      <c r="CA16" s="804"/>
      <c r="CB16" s="804"/>
      <c r="CC16" s="804"/>
      <c r="CD16" s="804"/>
      <c r="CE16" s="804"/>
      <c r="CF16" s="804"/>
      <c r="CG16" s="804"/>
      <c r="CH16" s="804"/>
      <c r="CI16" s="804"/>
      <c r="CJ16" s="804"/>
      <c r="CK16" s="804"/>
      <c r="CL16" s="804"/>
      <c r="CM16" s="804"/>
      <c r="CN16" s="793" t="s">
        <v>262</v>
      </c>
      <c r="CO16" s="793"/>
      <c r="CP16" s="793"/>
      <c r="CQ16" s="793"/>
      <c r="CR16" s="793"/>
      <c r="CS16" s="793"/>
      <c r="CT16" s="793"/>
      <c r="CU16" s="793"/>
      <c r="CV16" s="34" t="s">
        <v>235</v>
      </c>
      <c r="CW16" s="34" t="s">
        <v>32</v>
      </c>
      <c r="CX16" s="35">
        <v>0</v>
      </c>
      <c r="CY16" s="35">
        <v>0</v>
      </c>
      <c r="CZ16" s="35">
        <v>0</v>
      </c>
      <c r="DA16" s="35">
        <v>0</v>
      </c>
    </row>
    <row r="17" spans="1:105" ht="24" customHeight="1">
      <c r="A17" s="793" t="s">
        <v>263</v>
      </c>
      <c r="B17" s="793"/>
      <c r="C17" s="793"/>
      <c r="D17" s="793"/>
      <c r="E17" s="793"/>
      <c r="F17" s="793"/>
      <c r="G17" s="793"/>
      <c r="H17" s="793"/>
      <c r="I17" s="803" t="s">
        <v>256</v>
      </c>
      <c r="J17" s="804"/>
      <c r="K17" s="804"/>
      <c r="L17" s="804"/>
      <c r="M17" s="804"/>
      <c r="N17" s="804"/>
      <c r="O17" s="804"/>
      <c r="P17" s="804"/>
      <c r="Q17" s="804"/>
      <c r="R17" s="804"/>
      <c r="S17" s="804"/>
      <c r="T17" s="804"/>
      <c r="U17" s="804"/>
      <c r="V17" s="804"/>
      <c r="W17" s="804"/>
      <c r="X17" s="804"/>
      <c r="Y17" s="804"/>
      <c r="Z17" s="804"/>
      <c r="AA17" s="804"/>
      <c r="AB17" s="804"/>
      <c r="AC17" s="804"/>
      <c r="AD17" s="804"/>
      <c r="AE17" s="804"/>
      <c r="AF17" s="804"/>
      <c r="AG17" s="804"/>
      <c r="AH17" s="804"/>
      <c r="AI17" s="804"/>
      <c r="AJ17" s="804"/>
      <c r="AK17" s="804"/>
      <c r="AL17" s="804"/>
      <c r="AM17" s="804"/>
      <c r="AN17" s="804"/>
      <c r="AO17" s="804"/>
      <c r="AP17" s="804"/>
      <c r="AQ17" s="804"/>
      <c r="AR17" s="804"/>
      <c r="AS17" s="804"/>
      <c r="AT17" s="804"/>
      <c r="AU17" s="804"/>
      <c r="AV17" s="804"/>
      <c r="AW17" s="804"/>
      <c r="AX17" s="804"/>
      <c r="AY17" s="804"/>
      <c r="AZ17" s="804"/>
      <c r="BA17" s="804"/>
      <c r="BB17" s="804"/>
      <c r="BC17" s="804"/>
      <c r="BD17" s="804"/>
      <c r="BE17" s="804"/>
      <c r="BF17" s="804"/>
      <c r="BG17" s="804"/>
      <c r="BH17" s="804"/>
      <c r="BI17" s="804"/>
      <c r="BJ17" s="804"/>
      <c r="BK17" s="804"/>
      <c r="BL17" s="804"/>
      <c r="BM17" s="804"/>
      <c r="BN17" s="804"/>
      <c r="BO17" s="804"/>
      <c r="BP17" s="804"/>
      <c r="BQ17" s="804"/>
      <c r="BR17" s="804"/>
      <c r="BS17" s="804"/>
      <c r="BT17" s="804"/>
      <c r="BU17" s="804"/>
      <c r="BV17" s="804"/>
      <c r="BW17" s="804"/>
      <c r="BX17" s="804"/>
      <c r="BY17" s="804"/>
      <c r="BZ17" s="804"/>
      <c r="CA17" s="804"/>
      <c r="CB17" s="804"/>
      <c r="CC17" s="804"/>
      <c r="CD17" s="804"/>
      <c r="CE17" s="804"/>
      <c r="CF17" s="804"/>
      <c r="CG17" s="804"/>
      <c r="CH17" s="804"/>
      <c r="CI17" s="804"/>
      <c r="CJ17" s="804"/>
      <c r="CK17" s="804"/>
      <c r="CL17" s="804"/>
      <c r="CM17" s="804"/>
      <c r="CN17" s="793" t="s">
        <v>264</v>
      </c>
      <c r="CO17" s="793"/>
      <c r="CP17" s="793"/>
      <c r="CQ17" s="793"/>
      <c r="CR17" s="793"/>
      <c r="CS17" s="793"/>
      <c r="CT17" s="793"/>
      <c r="CU17" s="793"/>
      <c r="CV17" s="34" t="s">
        <v>235</v>
      </c>
      <c r="CW17" s="34" t="s">
        <v>32</v>
      </c>
      <c r="CX17" s="35">
        <v>1101884.3799999999</v>
      </c>
      <c r="CY17" s="35">
        <v>0</v>
      </c>
      <c r="CZ17" s="35">
        <v>0</v>
      </c>
      <c r="DA17" s="35">
        <v>0</v>
      </c>
    </row>
    <row r="18" spans="1:105" ht="24" customHeight="1">
      <c r="A18" s="793" t="s">
        <v>265</v>
      </c>
      <c r="B18" s="793"/>
      <c r="C18" s="793"/>
      <c r="D18" s="793"/>
      <c r="E18" s="793"/>
      <c r="F18" s="793"/>
      <c r="G18" s="793"/>
      <c r="H18" s="793"/>
      <c r="I18" s="803" t="s">
        <v>266</v>
      </c>
      <c r="J18" s="804"/>
      <c r="K18" s="804"/>
      <c r="L18" s="804"/>
      <c r="M18" s="804"/>
      <c r="N18" s="804"/>
      <c r="O18" s="804"/>
      <c r="P18" s="804"/>
      <c r="Q18" s="804"/>
      <c r="R18" s="804"/>
      <c r="S18" s="804"/>
      <c r="T18" s="804"/>
      <c r="U18" s="804"/>
      <c r="V18" s="804"/>
      <c r="W18" s="804"/>
      <c r="X18" s="804"/>
      <c r="Y18" s="804"/>
      <c r="Z18" s="804"/>
      <c r="AA18" s="804"/>
      <c r="AB18" s="804"/>
      <c r="AC18" s="804"/>
      <c r="AD18" s="804"/>
      <c r="AE18" s="804"/>
      <c r="AF18" s="804"/>
      <c r="AG18" s="804"/>
      <c r="AH18" s="804"/>
      <c r="AI18" s="804"/>
      <c r="AJ18" s="804"/>
      <c r="AK18" s="804"/>
      <c r="AL18" s="804"/>
      <c r="AM18" s="804"/>
      <c r="AN18" s="804"/>
      <c r="AO18" s="804"/>
      <c r="AP18" s="804"/>
      <c r="AQ18" s="804"/>
      <c r="AR18" s="804"/>
      <c r="AS18" s="804"/>
      <c r="AT18" s="804"/>
      <c r="AU18" s="804"/>
      <c r="AV18" s="804"/>
      <c r="AW18" s="804"/>
      <c r="AX18" s="804"/>
      <c r="AY18" s="804"/>
      <c r="AZ18" s="804"/>
      <c r="BA18" s="804"/>
      <c r="BB18" s="804"/>
      <c r="BC18" s="804"/>
      <c r="BD18" s="804"/>
      <c r="BE18" s="804"/>
      <c r="BF18" s="804"/>
      <c r="BG18" s="804"/>
      <c r="BH18" s="804"/>
      <c r="BI18" s="804"/>
      <c r="BJ18" s="804"/>
      <c r="BK18" s="804"/>
      <c r="BL18" s="804"/>
      <c r="BM18" s="804"/>
      <c r="BN18" s="804"/>
      <c r="BO18" s="804"/>
      <c r="BP18" s="804"/>
      <c r="BQ18" s="804"/>
      <c r="BR18" s="804"/>
      <c r="BS18" s="804"/>
      <c r="BT18" s="804"/>
      <c r="BU18" s="804"/>
      <c r="BV18" s="804"/>
      <c r="BW18" s="804"/>
      <c r="BX18" s="804"/>
      <c r="BY18" s="804"/>
      <c r="BZ18" s="804"/>
      <c r="CA18" s="804"/>
      <c r="CB18" s="804"/>
      <c r="CC18" s="804"/>
      <c r="CD18" s="804"/>
      <c r="CE18" s="804"/>
      <c r="CF18" s="804"/>
      <c r="CG18" s="804"/>
      <c r="CH18" s="804"/>
      <c r="CI18" s="804"/>
      <c r="CJ18" s="804"/>
      <c r="CK18" s="804"/>
      <c r="CL18" s="804"/>
      <c r="CM18" s="804"/>
      <c r="CN18" s="793" t="s">
        <v>267</v>
      </c>
      <c r="CO18" s="793"/>
      <c r="CP18" s="793"/>
      <c r="CQ18" s="793"/>
      <c r="CR18" s="793"/>
      <c r="CS18" s="793"/>
      <c r="CT18" s="793"/>
      <c r="CU18" s="793"/>
      <c r="CV18" s="34" t="s">
        <v>235</v>
      </c>
      <c r="CW18" s="34" t="s">
        <v>32</v>
      </c>
      <c r="CX18" s="35">
        <v>0</v>
      </c>
      <c r="CY18" s="35">
        <v>0</v>
      </c>
      <c r="CZ18" s="35">
        <v>0</v>
      </c>
      <c r="DA18" s="35">
        <v>0</v>
      </c>
    </row>
    <row r="19" spans="1:105" ht="24" customHeight="1">
      <c r="A19" s="793" t="s">
        <v>268</v>
      </c>
      <c r="B19" s="793"/>
      <c r="C19" s="793"/>
      <c r="D19" s="793"/>
      <c r="E19" s="793"/>
      <c r="F19" s="793"/>
      <c r="G19" s="793"/>
      <c r="H19" s="793"/>
      <c r="I19" s="803" t="s">
        <v>269</v>
      </c>
      <c r="J19" s="804"/>
      <c r="K19" s="804"/>
      <c r="L19" s="804"/>
      <c r="M19" s="804"/>
      <c r="N19" s="804"/>
      <c r="O19" s="804"/>
      <c r="P19" s="804"/>
      <c r="Q19" s="804"/>
      <c r="R19" s="804"/>
      <c r="S19" s="804"/>
      <c r="T19" s="804"/>
      <c r="U19" s="804"/>
      <c r="V19" s="804"/>
      <c r="W19" s="804"/>
      <c r="X19" s="804"/>
      <c r="Y19" s="804"/>
      <c r="Z19" s="804"/>
      <c r="AA19" s="804"/>
      <c r="AB19" s="804"/>
      <c r="AC19" s="804"/>
      <c r="AD19" s="804"/>
      <c r="AE19" s="804"/>
      <c r="AF19" s="804"/>
      <c r="AG19" s="804"/>
      <c r="AH19" s="804"/>
      <c r="AI19" s="804"/>
      <c r="AJ19" s="804"/>
      <c r="AK19" s="804"/>
      <c r="AL19" s="804"/>
      <c r="AM19" s="804"/>
      <c r="AN19" s="804"/>
      <c r="AO19" s="804"/>
      <c r="AP19" s="804"/>
      <c r="AQ19" s="804"/>
      <c r="AR19" s="804"/>
      <c r="AS19" s="804"/>
      <c r="AT19" s="804"/>
      <c r="AU19" s="804"/>
      <c r="AV19" s="804"/>
      <c r="AW19" s="804"/>
      <c r="AX19" s="804"/>
      <c r="AY19" s="804"/>
      <c r="AZ19" s="804"/>
      <c r="BA19" s="804"/>
      <c r="BB19" s="804"/>
      <c r="BC19" s="804"/>
      <c r="BD19" s="804"/>
      <c r="BE19" s="804"/>
      <c r="BF19" s="804"/>
      <c r="BG19" s="804"/>
      <c r="BH19" s="804"/>
      <c r="BI19" s="804"/>
      <c r="BJ19" s="804"/>
      <c r="BK19" s="804"/>
      <c r="BL19" s="804"/>
      <c r="BM19" s="804"/>
      <c r="BN19" s="804"/>
      <c r="BO19" s="804"/>
      <c r="BP19" s="804"/>
      <c r="BQ19" s="804"/>
      <c r="BR19" s="804"/>
      <c r="BS19" s="804"/>
      <c r="BT19" s="804"/>
      <c r="BU19" s="804"/>
      <c r="BV19" s="804"/>
      <c r="BW19" s="804"/>
      <c r="BX19" s="804"/>
      <c r="BY19" s="804"/>
      <c r="BZ19" s="804"/>
      <c r="CA19" s="804"/>
      <c r="CB19" s="804"/>
      <c r="CC19" s="804"/>
      <c r="CD19" s="804"/>
      <c r="CE19" s="804"/>
      <c r="CF19" s="804"/>
      <c r="CG19" s="804"/>
      <c r="CH19" s="804"/>
      <c r="CI19" s="804"/>
      <c r="CJ19" s="804"/>
      <c r="CK19" s="804"/>
      <c r="CL19" s="804"/>
      <c r="CM19" s="804"/>
      <c r="CN19" s="793" t="s">
        <v>270</v>
      </c>
      <c r="CO19" s="793"/>
      <c r="CP19" s="793"/>
      <c r="CQ19" s="793"/>
      <c r="CR19" s="793"/>
      <c r="CS19" s="793"/>
      <c r="CT19" s="793"/>
      <c r="CU19" s="793"/>
      <c r="CV19" s="34" t="s">
        <v>235</v>
      </c>
      <c r="CW19" s="34" t="s">
        <v>32</v>
      </c>
      <c r="CX19" s="35">
        <v>5523626.3799999999</v>
      </c>
      <c r="CY19" s="35">
        <v>5059979.82</v>
      </c>
      <c r="CZ19" s="35">
        <v>4781922.4400000004</v>
      </c>
      <c r="DA19" s="35">
        <v>0</v>
      </c>
    </row>
    <row r="20" spans="1:105" ht="24" customHeight="1">
      <c r="A20" s="793" t="s">
        <v>271</v>
      </c>
      <c r="B20" s="793"/>
      <c r="C20" s="793"/>
      <c r="D20" s="793"/>
      <c r="E20" s="793"/>
      <c r="F20" s="793"/>
      <c r="G20" s="793"/>
      <c r="H20" s="793"/>
      <c r="I20" s="803" t="s">
        <v>253</v>
      </c>
      <c r="J20" s="804"/>
      <c r="K20" s="804"/>
      <c r="L20" s="804"/>
      <c r="M20" s="804"/>
      <c r="N20" s="804"/>
      <c r="O20" s="804"/>
      <c r="P20" s="804"/>
      <c r="Q20" s="804"/>
      <c r="R20" s="804"/>
      <c r="S20" s="804"/>
      <c r="T20" s="804"/>
      <c r="U20" s="804"/>
      <c r="V20" s="804"/>
      <c r="W20" s="804"/>
      <c r="X20" s="804"/>
      <c r="Y20" s="804"/>
      <c r="Z20" s="804"/>
      <c r="AA20" s="804"/>
      <c r="AB20" s="804"/>
      <c r="AC20" s="804"/>
      <c r="AD20" s="804"/>
      <c r="AE20" s="804"/>
      <c r="AF20" s="804"/>
      <c r="AG20" s="804"/>
      <c r="AH20" s="804"/>
      <c r="AI20" s="804"/>
      <c r="AJ20" s="804"/>
      <c r="AK20" s="804"/>
      <c r="AL20" s="804"/>
      <c r="AM20" s="804"/>
      <c r="AN20" s="804"/>
      <c r="AO20" s="804"/>
      <c r="AP20" s="804"/>
      <c r="AQ20" s="804"/>
      <c r="AR20" s="804"/>
      <c r="AS20" s="804"/>
      <c r="AT20" s="804"/>
      <c r="AU20" s="804"/>
      <c r="AV20" s="804"/>
      <c r="AW20" s="804"/>
      <c r="AX20" s="804"/>
      <c r="AY20" s="804"/>
      <c r="AZ20" s="804"/>
      <c r="BA20" s="804"/>
      <c r="BB20" s="804"/>
      <c r="BC20" s="804"/>
      <c r="BD20" s="804"/>
      <c r="BE20" s="804"/>
      <c r="BF20" s="804"/>
      <c r="BG20" s="804"/>
      <c r="BH20" s="804"/>
      <c r="BI20" s="804"/>
      <c r="BJ20" s="804"/>
      <c r="BK20" s="804"/>
      <c r="BL20" s="804"/>
      <c r="BM20" s="804"/>
      <c r="BN20" s="804"/>
      <c r="BO20" s="804"/>
      <c r="BP20" s="804"/>
      <c r="BQ20" s="804"/>
      <c r="BR20" s="804"/>
      <c r="BS20" s="804"/>
      <c r="BT20" s="804"/>
      <c r="BU20" s="804"/>
      <c r="BV20" s="804"/>
      <c r="BW20" s="804"/>
      <c r="BX20" s="804"/>
      <c r="BY20" s="804"/>
      <c r="BZ20" s="804"/>
      <c r="CA20" s="804"/>
      <c r="CB20" s="804"/>
      <c r="CC20" s="804"/>
      <c r="CD20" s="804"/>
      <c r="CE20" s="804"/>
      <c r="CF20" s="804"/>
      <c r="CG20" s="804"/>
      <c r="CH20" s="804"/>
      <c r="CI20" s="804"/>
      <c r="CJ20" s="804"/>
      <c r="CK20" s="804"/>
      <c r="CL20" s="804"/>
      <c r="CM20" s="804"/>
      <c r="CN20" s="793" t="s">
        <v>272</v>
      </c>
      <c r="CO20" s="793"/>
      <c r="CP20" s="793"/>
      <c r="CQ20" s="793"/>
      <c r="CR20" s="793"/>
      <c r="CS20" s="793"/>
      <c r="CT20" s="793"/>
      <c r="CU20" s="793"/>
      <c r="CV20" s="34" t="s">
        <v>235</v>
      </c>
      <c r="CW20" s="34" t="s">
        <v>32</v>
      </c>
      <c r="CX20" s="35">
        <v>0</v>
      </c>
      <c r="CY20" s="35">
        <v>0</v>
      </c>
      <c r="CZ20" s="35">
        <v>0</v>
      </c>
      <c r="DA20" s="35">
        <v>0</v>
      </c>
    </row>
    <row r="21" spans="1:105" ht="24" customHeight="1">
      <c r="A21" s="793" t="s">
        <v>273</v>
      </c>
      <c r="B21" s="793"/>
      <c r="C21" s="793"/>
      <c r="D21" s="793"/>
      <c r="E21" s="793"/>
      <c r="F21" s="793"/>
      <c r="G21" s="793"/>
      <c r="H21" s="793"/>
      <c r="I21" s="803" t="s">
        <v>256</v>
      </c>
      <c r="J21" s="804"/>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4"/>
      <c r="AI21" s="804"/>
      <c r="AJ21" s="804"/>
      <c r="AK21" s="804"/>
      <c r="AL21" s="804"/>
      <c r="AM21" s="804"/>
      <c r="AN21" s="804"/>
      <c r="AO21" s="804"/>
      <c r="AP21" s="804"/>
      <c r="AQ21" s="804"/>
      <c r="AR21" s="804"/>
      <c r="AS21" s="804"/>
      <c r="AT21" s="804"/>
      <c r="AU21" s="804"/>
      <c r="AV21" s="804"/>
      <c r="AW21" s="804"/>
      <c r="AX21" s="804"/>
      <c r="AY21" s="804"/>
      <c r="AZ21" s="804"/>
      <c r="BA21" s="804"/>
      <c r="BB21" s="804"/>
      <c r="BC21" s="804"/>
      <c r="BD21" s="804"/>
      <c r="BE21" s="804"/>
      <c r="BF21" s="804"/>
      <c r="BG21" s="804"/>
      <c r="BH21" s="804"/>
      <c r="BI21" s="804"/>
      <c r="BJ21" s="804"/>
      <c r="BK21" s="804"/>
      <c r="BL21" s="804"/>
      <c r="BM21" s="804"/>
      <c r="BN21" s="804"/>
      <c r="BO21" s="804"/>
      <c r="BP21" s="804"/>
      <c r="BQ21" s="804"/>
      <c r="BR21" s="804"/>
      <c r="BS21" s="804"/>
      <c r="BT21" s="804"/>
      <c r="BU21" s="804"/>
      <c r="BV21" s="804"/>
      <c r="BW21" s="804"/>
      <c r="BX21" s="804"/>
      <c r="BY21" s="804"/>
      <c r="BZ21" s="804"/>
      <c r="CA21" s="804"/>
      <c r="CB21" s="804"/>
      <c r="CC21" s="804"/>
      <c r="CD21" s="804"/>
      <c r="CE21" s="804"/>
      <c r="CF21" s="804"/>
      <c r="CG21" s="804"/>
      <c r="CH21" s="804"/>
      <c r="CI21" s="804"/>
      <c r="CJ21" s="804"/>
      <c r="CK21" s="804"/>
      <c r="CL21" s="804"/>
      <c r="CM21" s="804"/>
      <c r="CN21" s="793" t="s">
        <v>274</v>
      </c>
      <c r="CO21" s="793"/>
      <c r="CP21" s="793"/>
      <c r="CQ21" s="793"/>
      <c r="CR21" s="793"/>
      <c r="CS21" s="793"/>
      <c r="CT21" s="793"/>
      <c r="CU21" s="793"/>
      <c r="CV21" s="34" t="s">
        <v>235</v>
      </c>
      <c r="CW21" s="34" t="s">
        <v>32</v>
      </c>
      <c r="CX21" s="35">
        <v>5523626.3799999999</v>
      </c>
      <c r="CY21" s="35">
        <v>5059979.82</v>
      </c>
      <c r="CZ21" s="35">
        <v>4781922.4400000004</v>
      </c>
      <c r="DA21" s="35">
        <v>0</v>
      </c>
    </row>
    <row r="22" spans="1:105" ht="21.75" customHeight="1">
      <c r="A22" s="798">
        <v>2</v>
      </c>
      <c r="B22" s="798"/>
      <c r="C22" s="798"/>
      <c r="D22" s="798"/>
      <c r="E22" s="798"/>
      <c r="F22" s="798"/>
      <c r="G22" s="798"/>
      <c r="H22" s="798"/>
      <c r="I22" s="799" t="s">
        <v>275</v>
      </c>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0"/>
      <c r="AP22" s="800"/>
      <c r="AQ22" s="800"/>
      <c r="AR22" s="800"/>
      <c r="AS22" s="800"/>
      <c r="AT22" s="800"/>
      <c r="AU22" s="800"/>
      <c r="AV22" s="800"/>
      <c r="AW22" s="800"/>
      <c r="AX22" s="800"/>
      <c r="AY22" s="800"/>
      <c r="AZ22" s="800"/>
      <c r="BA22" s="800"/>
      <c r="BB22" s="800"/>
      <c r="BC22" s="800"/>
      <c r="BD22" s="800"/>
      <c r="BE22" s="800"/>
      <c r="BF22" s="800"/>
      <c r="BG22" s="800"/>
      <c r="BH22" s="800"/>
      <c r="BI22" s="800"/>
      <c r="BJ22" s="800"/>
      <c r="BK22" s="800"/>
      <c r="BL22" s="800"/>
      <c r="BM22" s="800"/>
      <c r="BN22" s="800"/>
      <c r="BO22" s="800"/>
      <c r="BP22" s="800"/>
      <c r="BQ22" s="800"/>
      <c r="BR22" s="800"/>
      <c r="BS22" s="800"/>
      <c r="BT22" s="800"/>
      <c r="BU22" s="800"/>
      <c r="BV22" s="800"/>
      <c r="BW22" s="800"/>
      <c r="BX22" s="800"/>
      <c r="BY22" s="800"/>
      <c r="BZ22" s="800"/>
      <c r="CA22" s="800"/>
      <c r="CB22" s="800"/>
      <c r="CC22" s="800"/>
      <c r="CD22" s="800"/>
      <c r="CE22" s="800"/>
      <c r="CF22" s="800"/>
      <c r="CG22" s="800"/>
      <c r="CH22" s="800"/>
      <c r="CI22" s="800"/>
      <c r="CJ22" s="800"/>
      <c r="CK22" s="800"/>
      <c r="CL22" s="800"/>
      <c r="CM22" s="801"/>
      <c r="CN22" s="798" t="s">
        <v>276</v>
      </c>
      <c r="CO22" s="798"/>
      <c r="CP22" s="798"/>
      <c r="CQ22" s="798"/>
      <c r="CR22" s="798"/>
      <c r="CS22" s="798"/>
      <c r="CT22" s="798"/>
      <c r="CU22" s="798"/>
      <c r="CV22" s="34" t="s">
        <v>277</v>
      </c>
      <c r="CW22" s="34" t="s">
        <v>32</v>
      </c>
      <c r="CX22" s="35">
        <v>0</v>
      </c>
      <c r="CY22" s="35">
        <v>0</v>
      </c>
      <c r="CZ22" s="35">
        <v>0</v>
      </c>
      <c r="DA22" s="35">
        <v>0</v>
      </c>
    </row>
    <row r="23" spans="1:105" ht="24" customHeight="1">
      <c r="A23" s="793" t="s">
        <v>278</v>
      </c>
      <c r="B23" s="793"/>
      <c r="C23" s="793"/>
      <c r="D23" s="793"/>
      <c r="E23" s="793"/>
      <c r="F23" s="793"/>
      <c r="G23" s="793"/>
      <c r="H23" s="793"/>
      <c r="I23" s="803" t="s">
        <v>279</v>
      </c>
      <c r="J23" s="804"/>
      <c r="K23" s="804"/>
      <c r="L23" s="804"/>
      <c r="M23" s="804"/>
      <c r="N23" s="804"/>
      <c r="O23" s="804"/>
      <c r="P23" s="804"/>
      <c r="Q23" s="804"/>
      <c r="R23" s="804"/>
      <c r="S23" s="804"/>
      <c r="T23" s="804"/>
      <c r="U23" s="804"/>
      <c r="V23" s="804"/>
      <c r="W23" s="804"/>
      <c r="X23" s="804"/>
      <c r="Y23" s="804"/>
      <c r="Z23" s="804"/>
      <c r="AA23" s="804"/>
      <c r="AB23" s="804"/>
      <c r="AC23" s="804"/>
      <c r="AD23" s="804"/>
      <c r="AE23" s="804"/>
      <c r="AF23" s="804"/>
      <c r="AG23" s="804"/>
      <c r="AH23" s="804"/>
      <c r="AI23" s="804"/>
      <c r="AJ23" s="804"/>
      <c r="AK23" s="804"/>
      <c r="AL23" s="804"/>
      <c r="AM23" s="804"/>
      <c r="AN23" s="804"/>
      <c r="AO23" s="804"/>
      <c r="AP23" s="804"/>
      <c r="AQ23" s="804"/>
      <c r="AR23" s="804"/>
      <c r="AS23" s="804"/>
      <c r="AT23" s="804"/>
      <c r="AU23" s="804"/>
      <c r="AV23" s="804"/>
      <c r="AW23" s="804"/>
      <c r="AX23" s="804"/>
      <c r="AY23" s="804"/>
      <c r="AZ23" s="804"/>
      <c r="BA23" s="804"/>
      <c r="BB23" s="804"/>
      <c r="BC23" s="804"/>
      <c r="BD23" s="804"/>
      <c r="BE23" s="804"/>
      <c r="BF23" s="804"/>
      <c r="BG23" s="804"/>
      <c r="BH23" s="804"/>
      <c r="BI23" s="804"/>
      <c r="BJ23" s="804"/>
      <c r="BK23" s="804"/>
      <c r="BL23" s="804"/>
      <c r="BM23" s="804"/>
      <c r="BN23" s="804"/>
      <c r="BO23" s="804"/>
      <c r="BP23" s="804"/>
      <c r="BQ23" s="804"/>
      <c r="BR23" s="804"/>
      <c r="BS23" s="804"/>
      <c r="BT23" s="804"/>
      <c r="BU23" s="804"/>
      <c r="BV23" s="804"/>
      <c r="BW23" s="804"/>
      <c r="BX23" s="804"/>
      <c r="BY23" s="804"/>
      <c r="BZ23" s="804"/>
      <c r="CA23" s="804"/>
      <c r="CB23" s="804"/>
      <c r="CC23" s="804"/>
      <c r="CD23" s="804"/>
      <c r="CE23" s="804"/>
      <c r="CF23" s="804"/>
      <c r="CG23" s="804"/>
      <c r="CH23" s="804"/>
      <c r="CI23" s="804"/>
      <c r="CJ23" s="804"/>
      <c r="CK23" s="804"/>
      <c r="CL23" s="804"/>
      <c r="CM23" s="804"/>
      <c r="CN23" s="793" t="s">
        <v>280</v>
      </c>
      <c r="CO23" s="793"/>
      <c r="CP23" s="793"/>
      <c r="CQ23" s="793"/>
      <c r="CR23" s="793"/>
      <c r="CS23" s="793"/>
      <c r="CT23" s="793"/>
      <c r="CU23" s="793"/>
      <c r="CV23" s="34" t="s">
        <v>235</v>
      </c>
      <c r="CW23" s="34" t="s">
        <v>32</v>
      </c>
      <c r="CX23" s="35">
        <v>0</v>
      </c>
      <c r="CY23" s="35">
        <v>0</v>
      </c>
      <c r="CZ23" s="35">
        <v>0</v>
      </c>
      <c r="DA23" s="35">
        <v>0</v>
      </c>
    </row>
    <row r="24" spans="1:105" ht="24" customHeight="1">
      <c r="A24" s="793" t="s">
        <v>281</v>
      </c>
      <c r="B24" s="793"/>
      <c r="C24" s="793"/>
      <c r="D24" s="793"/>
      <c r="E24" s="793"/>
      <c r="F24" s="793"/>
      <c r="G24" s="793"/>
      <c r="H24" s="793"/>
      <c r="I24" s="803" t="s">
        <v>279</v>
      </c>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804"/>
      <c r="BA24" s="804"/>
      <c r="BB24" s="804"/>
      <c r="BC24" s="804"/>
      <c r="BD24" s="804"/>
      <c r="BE24" s="804"/>
      <c r="BF24" s="804"/>
      <c r="BG24" s="804"/>
      <c r="BH24" s="804"/>
      <c r="BI24" s="804"/>
      <c r="BJ24" s="804"/>
      <c r="BK24" s="804"/>
      <c r="BL24" s="804"/>
      <c r="BM24" s="804"/>
      <c r="BN24" s="804"/>
      <c r="BO24" s="804"/>
      <c r="BP24" s="804"/>
      <c r="BQ24" s="804"/>
      <c r="BR24" s="804"/>
      <c r="BS24" s="804"/>
      <c r="BT24" s="804"/>
      <c r="BU24" s="804"/>
      <c r="BV24" s="804"/>
      <c r="BW24" s="804"/>
      <c r="BX24" s="804"/>
      <c r="BY24" s="804"/>
      <c r="BZ24" s="804"/>
      <c r="CA24" s="804"/>
      <c r="CB24" s="804"/>
      <c r="CC24" s="804"/>
      <c r="CD24" s="804"/>
      <c r="CE24" s="804"/>
      <c r="CF24" s="804"/>
      <c r="CG24" s="804"/>
      <c r="CH24" s="804"/>
      <c r="CI24" s="804"/>
      <c r="CJ24" s="804"/>
      <c r="CK24" s="804"/>
      <c r="CL24" s="804"/>
      <c r="CM24" s="804"/>
      <c r="CN24" s="793" t="s">
        <v>280</v>
      </c>
      <c r="CO24" s="793"/>
      <c r="CP24" s="793"/>
      <c r="CQ24" s="793"/>
      <c r="CR24" s="793"/>
      <c r="CS24" s="793"/>
      <c r="CT24" s="793"/>
      <c r="CU24" s="793"/>
      <c r="CV24" s="34" t="s">
        <v>282</v>
      </c>
      <c r="CW24" s="34" t="s">
        <v>32</v>
      </c>
      <c r="CX24" s="35">
        <v>0</v>
      </c>
      <c r="CY24" s="35">
        <v>0</v>
      </c>
      <c r="CZ24" s="35">
        <v>0</v>
      </c>
      <c r="DA24" s="35">
        <v>0</v>
      </c>
    </row>
    <row r="25" spans="1:105" ht="24" customHeight="1">
      <c r="A25" s="793" t="s">
        <v>283</v>
      </c>
      <c r="B25" s="793"/>
      <c r="C25" s="793"/>
      <c r="D25" s="793"/>
      <c r="E25" s="793"/>
      <c r="F25" s="793"/>
      <c r="G25" s="793"/>
      <c r="H25" s="793"/>
      <c r="I25" s="803" t="s">
        <v>279</v>
      </c>
      <c r="J25" s="804"/>
      <c r="K25" s="804"/>
      <c r="L25" s="804"/>
      <c r="M25" s="804"/>
      <c r="N25" s="804"/>
      <c r="O25" s="804"/>
      <c r="P25" s="804"/>
      <c r="Q25" s="804"/>
      <c r="R25" s="804"/>
      <c r="S25" s="804"/>
      <c r="T25" s="804"/>
      <c r="U25" s="804"/>
      <c r="V25" s="804"/>
      <c r="W25" s="804"/>
      <c r="X25" s="804"/>
      <c r="Y25" s="804"/>
      <c r="Z25" s="804"/>
      <c r="AA25" s="804"/>
      <c r="AB25" s="804"/>
      <c r="AC25" s="804"/>
      <c r="AD25" s="804"/>
      <c r="AE25" s="804"/>
      <c r="AF25" s="804"/>
      <c r="AG25" s="804"/>
      <c r="AH25" s="804"/>
      <c r="AI25" s="804"/>
      <c r="AJ25" s="804"/>
      <c r="AK25" s="804"/>
      <c r="AL25" s="804"/>
      <c r="AM25" s="804"/>
      <c r="AN25" s="804"/>
      <c r="AO25" s="804"/>
      <c r="AP25" s="804"/>
      <c r="AQ25" s="804"/>
      <c r="AR25" s="804"/>
      <c r="AS25" s="804"/>
      <c r="AT25" s="804"/>
      <c r="AU25" s="804"/>
      <c r="AV25" s="804"/>
      <c r="AW25" s="804"/>
      <c r="AX25" s="804"/>
      <c r="AY25" s="804"/>
      <c r="AZ25" s="804"/>
      <c r="BA25" s="804"/>
      <c r="BB25" s="804"/>
      <c r="BC25" s="804"/>
      <c r="BD25" s="804"/>
      <c r="BE25" s="804"/>
      <c r="BF25" s="804"/>
      <c r="BG25" s="804"/>
      <c r="BH25" s="804"/>
      <c r="BI25" s="804"/>
      <c r="BJ25" s="804"/>
      <c r="BK25" s="804"/>
      <c r="BL25" s="804"/>
      <c r="BM25" s="804"/>
      <c r="BN25" s="804"/>
      <c r="BO25" s="804"/>
      <c r="BP25" s="804"/>
      <c r="BQ25" s="804"/>
      <c r="BR25" s="804"/>
      <c r="BS25" s="804"/>
      <c r="BT25" s="804"/>
      <c r="BU25" s="804"/>
      <c r="BV25" s="804"/>
      <c r="BW25" s="804"/>
      <c r="BX25" s="804"/>
      <c r="BY25" s="804"/>
      <c r="BZ25" s="804"/>
      <c r="CA25" s="804"/>
      <c r="CB25" s="804"/>
      <c r="CC25" s="804"/>
      <c r="CD25" s="804"/>
      <c r="CE25" s="804"/>
      <c r="CF25" s="804"/>
      <c r="CG25" s="804"/>
      <c r="CH25" s="804"/>
      <c r="CI25" s="804"/>
      <c r="CJ25" s="804"/>
      <c r="CK25" s="804"/>
      <c r="CL25" s="804"/>
      <c r="CM25" s="804"/>
      <c r="CN25" s="793" t="s">
        <v>280</v>
      </c>
      <c r="CO25" s="793"/>
      <c r="CP25" s="793"/>
      <c r="CQ25" s="793"/>
      <c r="CR25" s="793"/>
      <c r="CS25" s="793"/>
      <c r="CT25" s="793"/>
      <c r="CU25" s="793"/>
      <c r="CV25" s="34" t="s">
        <v>284</v>
      </c>
      <c r="CW25" s="34" t="s">
        <v>32</v>
      </c>
      <c r="CX25" s="35">
        <v>0</v>
      </c>
      <c r="CY25" s="35">
        <v>0</v>
      </c>
      <c r="CZ25" s="35">
        <v>0</v>
      </c>
      <c r="DA25" s="35">
        <v>0</v>
      </c>
    </row>
    <row r="26" spans="1:105" ht="26.25" customHeight="1">
      <c r="A26" s="798">
        <v>3</v>
      </c>
      <c r="B26" s="798"/>
      <c r="C26" s="798"/>
      <c r="D26" s="798"/>
      <c r="E26" s="798"/>
      <c r="F26" s="798"/>
      <c r="G26" s="798"/>
      <c r="H26" s="798"/>
      <c r="I26" s="799" t="s">
        <v>285</v>
      </c>
      <c r="J26" s="800"/>
      <c r="K26" s="800"/>
      <c r="L26" s="800"/>
      <c r="M26" s="800"/>
      <c r="N26" s="800"/>
      <c r="O26" s="800"/>
      <c r="P26" s="800"/>
      <c r="Q26" s="800"/>
      <c r="R26" s="800"/>
      <c r="S26" s="800"/>
      <c r="T26" s="800"/>
      <c r="U26" s="800"/>
      <c r="V26" s="800"/>
      <c r="W26" s="800"/>
      <c r="X26" s="800"/>
      <c r="Y26" s="800"/>
      <c r="Z26" s="800"/>
      <c r="AA26" s="800"/>
      <c r="AB26" s="800"/>
      <c r="AC26" s="800"/>
      <c r="AD26" s="800"/>
      <c r="AE26" s="800"/>
      <c r="AF26" s="800"/>
      <c r="AG26" s="800"/>
      <c r="AH26" s="800"/>
      <c r="AI26" s="800"/>
      <c r="AJ26" s="800"/>
      <c r="AK26" s="800"/>
      <c r="AL26" s="800"/>
      <c r="AM26" s="800"/>
      <c r="AN26" s="800"/>
      <c r="AO26" s="800"/>
      <c r="AP26" s="800"/>
      <c r="AQ26" s="800"/>
      <c r="AR26" s="800"/>
      <c r="AS26" s="800"/>
      <c r="AT26" s="800"/>
      <c r="AU26" s="800"/>
      <c r="AV26" s="800"/>
      <c r="AW26" s="800"/>
      <c r="AX26" s="800"/>
      <c r="AY26" s="800"/>
      <c r="AZ26" s="800"/>
      <c r="BA26" s="800"/>
      <c r="BB26" s="800"/>
      <c r="BC26" s="800"/>
      <c r="BD26" s="800"/>
      <c r="BE26" s="800"/>
      <c r="BF26" s="800"/>
      <c r="BG26" s="800"/>
      <c r="BH26" s="800"/>
      <c r="BI26" s="800"/>
      <c r="BJ26" s="800"/>
      <c r="BK26" s="800"/>
      <c r="BL26" s="800"/>
      <c r="BM26" s="800"/>
      <c r="BN26" s="800"/>
      <c r="BO26" s="800"/>
      <c r="BP26" s="800"/>
      <c r="BQ26" s="800"/>
      <c r="BR26" s="800"/>
      <c r="BS26" s="800"/>
      <c r="BT26" s="800"/>
      <c r="BU26" s="800"/>
      <c r="BV26" s="800"/>
      <c r="BW26" s="800"/>
      <c r="BX26" s="800"/>
      <c r="BY26" s="800"/>
      <c r="BZ26" s="800"/>
      <c r="CA26" s="800"/>
      <c r="CB26" s="800"/>
      <c r="CC26" s="800"/>
      <c r="CD26" s="800"/>
      <c r="CE26" s="800"/>
      <c r="CF26" s="800"/>
      <c r="CG26" s="800"/>
      <c r="CH26" s="800"/>
      <c r="CI26" s="800"/>
      <c r="CJ26" s="800"/>
      <c r="CK26" s="800"/>
      <c r="CL26" s="800"/>
      <c r="CM26" s="801"/>
      <c r="CN26" s="798" t="s">
        <v>286</v>
      </c>
      <c r="CO26" s="798"/>
      <c r="CP26" s="798"/>
      <c r="CQ26" s="798"/>
      <c r="CR26" s="798"/>
      <c r="CS26" s="798"/>
      <c r="CT26" s="798"/>
      <c r="CU26" s="798"/>
      <c r="CV26" s="34" t="s">
        <v>277</v>
      </c>
      <c r="CW26" s="34" t="s">
        <v>32</v>
      </c>
      <c r="CX26" s="35">
        <f>CX7</f>
        <v>26641417.629999999</v>
      </c>
      <c r="CY26" s="35">
        <f t="shared" ref="CY26:CZ26" si="0">CY7</f>
        <v>13005419.82</v>
      </c>
      <c r="CZ26" s="35">
        <f t="shared" si="0"/>
        <v>12930515.15</v>
      </c>
      <c r="DA26" s="35">
        <v>0</v>
      </c>
    </row>
    <row r="27" spans="1:105" ht="24" customHeight="1">
      <c r="A27" s="793" t="s">
        <v>287</v>
      </c>
      <c r="B27" s="793"/>
      <c r="C27" s="793"/>
      <c r="D27" s="793"/>
      <c r="E27" s="793"/>
      <c r="F27" s="793"/>
      <c r="G27" s="793"/>
      <c r="H27" s="793"/>
      <c r="I27" s="803" t="s">
        <v>279</v>
      </c>
      <c r="J27" s="804"/>
      <c r="K27" s="804"/>
      <c r="L27" s="804"/>
      <c r="M27" s="804"/>
      <c r="N27" s="804"/>
      <c r="O27" s="804"/>
      <c r="P27" s="804"/>
      <c r="Q27" s="804"/>
      <c r="R27" s="804"/>
      <c r="S27" s="804"/>
      <c r="T27" s="804"/>
      <c r="U27" s="804"/>
      <c r="V27" s="804"/>
      <c r="W27" s="804"/>
      <c r="X27" s="804"/>
      <c r="Y27" s="804"/>
      <c r="Z27" s="804"/>
      <c r="AA27" s="804"/>
      <c r="AB27" s="804"/>
      <c r="AC27" s="804"/>
      <c r="AD27" s="804"/>
      <c r="AE27" s="804"/>
      <c r="AF27" s="804"/>
      <c r="AG27" s="804"/>
      <c r="AH27" s="804"/>
      <c r="AI27" s="804"/>
      <c r="AJ27" s="804"/>
      <c r="AK27" s="804"/>
      <c r="AL27" s="804"/>
      <c r="AM27" s="804"/>
      <c r="AN27" s="804"/>
      <c r="AO27" s="804"/>
      <c r="AP27" s="804"/>
      <c r="AQ27" s="804"/>
      <c r="AR27" s="804"/>
      <c r="AS27" s="804"/>
      <c r="AT27" s="804"/>
      <c r="AU27" s="804"/>
      <c r="AV27" s="804"/>
      <c r="AW27" s="804"/>
      <c r="AX27" s="804"/>
      <c r="AY27" s="804"/>
      <c r="AZ27" s="804"/>
      <c r="BA27" s="804"/>
      <c r="BB27" s="804"/>
      <c r="BC27" s="804"/>
      <c r="BD27" s="804"/>
      <c r="BE27" s="804"/>
      <c r="BF27" s="804"/>
      <c r="BG27" s="804"/>
      <c r="BH27" s="804"/>
      <c r="BI27" s="804"/>
      <c r="BJ27" s="804"/>
      <c r="BK27" s="804"/>
      <c r="BL27" s="804"/>
      <c r="BM27" s="804"/>
      <c r="BN27" s="804"/>
      <c r="BO27" s="804"/>
      <c r="BP27" s="804"/>
      <c r="BQ27" s="804"/>
      <c r="BR27" s="804"/>
      <c r="BS27" s="804"/>
      <c r="BT27" s="804"/>
      <c r="BU27" s="804"/>
      <c r="BV27" s="804"/>
      <c r="BW27" s="804"/>
      <c r="BX27" s="804"/>
      <c r="BY27" s="804"/>
      <c r="BZ27" s="804"/>
      <c r="CA27" s="804"/>
      <c r="CB27" s="804"/>
      <c r="CC27" s="804"/>
      <c r="CD27" s="804"/>
      <c r="CE27" s="804"/>
      <c r="CF27" s="804"/>
      <c r="CG27" s="804"/>
      <c r="CH27" s="804"/>
      <c r="CI27" s="804"/>
      <c r="CJ27" s="804"/>
      <c r="CK27" s="804"/>
      <c r="CL27" s="804"/>
      <c r="CM27" s="804"/>
      <c r="CN27" s="793" t="s">
        <v>288</v>
      </c>
      <c r="CO27" s="793"/>
      <c r="CP27" s="793"/>
      <c r="CQ27" s="793"/>
      <c r="CR27" s="793"/>
      <c r="CS27" s="793"/>
      <c r="CT27" s="793"/>
      <c r="CU27" s="793"/>
      <c r="CV27" s="34" t="s">
        <v>235</v>
      </c>
      <c r="CW27" s="34" t="s">
        <v>32</v>
      </c>
      <c r="CX27" s="105">
        <f>CX26</f>
        <v>26641417.629999999</v>
      </c>
      <c r="CY27" s="105">
        <v>0</v>
      </c>
      <c r="CZ27" s="105">
        <v>0</v>
      </c>
      <c r="DA27" s="105">
        <v>0</v>
      </c>
    </row>
    <row r="28" spans="1:105" ht="24" customHeight="1">
      <c r="A28" s="793" t="s">
        <v>289</v>
      </c>
      <c r="B28" s="793"/>
      <c r="C28" s="793"/>
      <c r="D28" s="793"/>
      <c r="E28" s="793"/>
      <c r="F28" s="793"/>
      <c r="G28" s="793"/>
      <c r="H28" s="793"/>
      <c r="I28" s="803" t="s">
        <v>279</v>
      </c>
      <c r="J28" s="804"/>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c r="AH28" s="804"/>
      <c r="AI28" s="804"/>
      <c r="AJ28" s="804"/>
      <c r="AK28" s="804"/>
      <c r="AL28" s="804"/>
      <c r="AM28" s="804"/>
      <c r="AN28" s="804"/>
      <c r="AO28" s="804"/>
      <c r="AP28" s="804"/>
      <c r="AQ28" s="804"/>
      <c r="AR28" s="804"/>
      <c r="AS28" s="804"/>
      <c r="AT28" s="804"/>
      <c r="AU28" s="804"/>
      <c r="AV28" s="804"/>
      <c r="AW28" s="804"/>
      <c r="AX28" s="804"/>
      <c r="AY28" s="804"/>
      <c r="AZ28" s="804"/>
      <c r="BA28" s="804"/>
      <c r="BB28" s="804"/>
      <c r="BC28" s="804"/>
      <c r="BD28" s="804"/>
      <c r="BE28" s="804"/>
      <c r="BF28" s="804"/>
      <c r="BG28" s="804"/>
      <c r="BH28" s="804"/>
      <c r="BI28" s="804"/>
      <c r="BJ28" s="804"/>
      <c r="BK28" s="804"/>
      <c r="BL28" s="804"/>
      <c r="BM28" s="804"/>
      <c r="BN28" s="804"/>
      <c r="BO28" s="804"/>
      <c r="BP28" s="804"/>
      <c r="BQ28" s="804"/>
      <c r="BR28" s="804"/>
      <c r="BS28" s="804"/>
      <c r="BT28" s="804"/>
      <c r="BU28" s="804"/>
      <c r="BV28" s="804"/>
      <c r="BW28" s="804"/>
      <c r="BX28" s="804"/>
      <c r="BY28" s="804"/>
      <c r="BZ28" s="804"/>
      <c r="CA28" s="804"/>
      <c r="CB28" s="804"/>
      <c r="CC28" s="804"/>
      <c r="CD28" s="804"/>
      <c r="CE28" s="804"/>
      <c r="CF28" s="804"/>
      <c r="CG28" s="804"/>
      <c r="CH28" s="804"/>
      <c r="CI28" s="804"/>
      <c r="CJ28" s="804"/>
      <c r="CK28" s="804"/>
      <c r="CL28" s="804"/>
      <c r="CM28" s="804"/>
      <c r="CN28" s="793" t="s">
        <v>288</v>
      </c>
      <c r="CO28" s="793"/>
      <c r="CP28" s="793"/>
      <c r="CQ28" s="793"/>
      <c r="CR28" s="793"/>
      <c r="CS28" s="793"/>
      <c r="CT28" s="793"/>
      <c r="CU28" s="793"/>
      <c r="CV28" s="34" t="s">
        <v>282</v>
      </c>
      <c r="CW28" s="34" t="s">
        <v>32</v>
      </c>
      <c r="CX28" s="105">
        <v>0</v>
      </c>
      <c r="CY28" s="105">
        <f>CY26</f>
        <v>13005419.82</v>
      </c>
      <c r="CZ28" s="105">
        <v>0</v>
      </c>
      <c r="DA28" s="105">
        <v>0</v>
      </c>
    </row>
    <row r="29" spans="1:105" ht="24" customHeight="1">
      <c r="A29" s="793" t="s">
        <v>290</v>
      </c>
      <c r="B29" s="793"/>
      <c r="C29" s="793"/>
      <c r="D29" s="793"/>
      <c r="E29" s="793"/>
      <c r="F29" s="793"/>
      <c r="G29" s="793"/>
      <c r="H29" s="793"/>
      <c r="I29" s="803" t="s">
        <v>279</v>
      </c>
      <c r="J29" s="804"/>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804"/>
      <c r="AM29" s="804"/>
      <c r="AN29" s="804"/>
      <c r="AO29" s="804"/>
      <c r="AP29" s="804"/>
      <c r="AQ29" s="804"/>
      <c r="AR29" s="804"/>
      <c r="AS29" s="804"/>
      <c r="AT29" s="804"/>
      <c r="AU29" s="804"/>
      <c r="AV29" s="804"/>
      <c r="AW29" s="804"/>
      <c r="AX29" s="804"/>
      <c r="AY29" s="804"/>
      <c r="AZ29" s="804"/>
      <c r="BA29" s="804"/>
      <c r="BB29" s="804"/>
      <c r="BC29" s="804"/>
      <c r="BD29" s="804"/>
      <c r="BE29" s="804"/>
      <c r="BF29" s="804"/>
      <c r="BG29" s="804"/>
      <c r="BH29" s="804"/>
      <c r="BI29" s="804"/>
      <c r="BJ29" s="804"/>
      <c r="BK29" s="804"/>
      <c r="BL29" s="804"/>
      <c r="BM29" s="804"/>
      <c r="BN29" s="804"/>
      <c r="BO29" s="804"/>
      <c r="BP29" s="804"/>
      <c r="BQ29" s="804"/>
      <c r="BR29" s="804"/>
      <c r="BS29" s="804"/>
      <c r="BT29" s="804"/>
      <c r="BU29" s="804"/>
      <c r="BV29" s="804"/>
      <c r="BW29" s="804"/>
      <c r="BX29" s="804"/>
      <c r="BY29" s="804"/>
      <c r="BZ29" s="804"/>
      <c r="CA29" s="804"/>
      <c r="CB29" s="804"/>
      <c r="CC29" s="804"/>
      <c r="CD29" s="804"/>
      <c r="CE29" s="804"/>
      <c r="CF29" s="804"/>
      <c r="CG29" s="804"/>
      <c r="CH29" s="804"/>
      <c r="CI29" s="804"/>
      <c r="CJ29" s="804"/>
      <c r="CK29" s="804"/>
      <c r="CL29" s="804"/>
      <c r="CM29" s="804"/>
      <c r="CN29" s="793" t="s">
        <v>288</v>
      </c>
      <c r="CO29" s="793"/>
      <c r="CP29" s="793"/>
      <c r="CQ29" s="793"/>
      <c r="CR29" s="793"/>
      <c r="CS29" s="793"/>
      <c r="CT29" s="793"/>
      <c r="CU29" s="793"/>
      <c r="CV29" s="34" t="s">
        <v>284</v>
      </c>
      <c r="CW29" s="34" t="s">
        <v>32</v>
      </c>
      <c r="CX29" s="105">
        <v>0</v>
      </c>
      <c r="CY29" s="105">
        <v>0</v>
      </c>
      <c r="CZ29" s="105">
        <f>CZ26</f>
        <v>12930515.15</v>
      </c>
      <c r="DA29" s="105">
        <v>0</v>
      </c>
    </row>
    <row r="30" spans="1:105" ht="15"/>
    <row r="31" spans="1:105" ht="27.75" customHeight="1">
      <c r="A31" s="75"/>
      <c r="B31" s="75"/>
      <c r="C31" s="75"/>
      <c r="D31" s="75"/>
      <c r="E31" s="75"/>
      <c r="F31" s="75"/>
      <c r="G31" s="75"/>
      <c r="H31" s="75"/>
      <c r="I31" s="67" t="s">
        <v>291</v>
      </c>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97" t="s">
        <v>179</v>
      </c>
      <c r="AN31" s="797"/>
      <c r="AO31" s="797"/>
      <c r="AP31" s="797"/>
      <c r="AQ31" s="797"/>
      <c r="AR31" s="797"/>
      <c r="AS31" s="797"/>
      <c r="AT31" s="797"/>
      <c r="AU31" s="797"/>
      <c r="AV31" s="797"/>
      <c r="AW31" s="797"/>
      <c r="AX31" s="797"/>
      <c r="AY31" s="797"/>
      <c r="AZ31" s="797"/>
      <c r="BA31" s="797"/>
      <c r="BB31" s="797"/>
      <c r="BC31" s="797"/>
      <c r="BD31" s="797"/>
      <c r="BE31" s="75"/>
      <c r="BF31" s="75"/>
      <c r="BG31" s="797" t="s">
        <v>180</v>
      </c>
      <c r="BH31" s="797"/>
      <c r="BI31" s="797"/>
      <c r="BJ31" s="797"/>
      <c r="BK31" s="797"/>
      <c r="BL31" s="797"/>
      <c r="BM31" s="797"/>
      <c r="BN31" s="797"/>
      <c r="BO31" s="797"/>
      <c r="BP31" s="797"/>
      <c r="BQ31" s="797"/>
      <c r="BR31" s="797"/>
      <c r="BS31" s="797"/>
      <c r="BT31" s="797"/>
      <c r="BU31" s="797"/>
      <c r="BV31" s="797"/>
      <c r="BW31" s="797"/>
      <c r="BX31" s="797"/>
      <c r="BY31" s="75"/>
      <c r="BZ31" s="75"/>
      <c r="CA31" s="789" t="s">
        <v>293</v>
      </c>
      <c r="CB31" s="789"/>
      <c r="CC31" s="789"/>
      <c r="CD31" s="789"/>
      <c r="CE31" s="789"/>
      <c r="CF31" s="789"/>
      <c r="CG31" s="789"/>
      <c r="CH31" s="789"/>
      <c r="CI31" s="789"/>
      <c r="CJ31" s="789"/>
      <c r="CK31" s="789"/>
      <c r="CL31" s="789"/>
      <c r="CM31" s="789"/>
      <c r="CN31" s="789"/>
      <c r="CO31" s="789"/>
      <c r="CP31" s="789"/>
      <c r="CQ31" s="789"/>
      <c r="CR31" s="789"/>
    </row>
    <row r="32" spans="1:105" ht="11.2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81" t="s">
        <v>294</v>
      </c>
      <c r="AN32" s="781"/>
      <c r="AO32" s="781"/>
      <c r="AP32" s="781"/>
      <c r="AQ32" s="781"/>
      <c r="AR32" s="781"/>
      <c r="AS32" s="781"/>
      <c r="AT32" s="781"/>
      <c r="AU32" s="781"/>
      <c r="AV32" s="781"/>
      <c r="AW32" s="781"/>
      <c r="AX32" s="781"/>
      <c r="AY32" s="781"/>
      <c r="AZ32" s="781"/>
      <c r="BA32" s="781"/>
      <c r="BB32" s="781"/>
      <c r="BC32" s="781"/>
      <c r="BD32" s="781"/>
      <c r="BE32" s="75"/>
      <c r="BF32" s="75"/>
      <c r="BG32" s="781" t="s">
        <v>295</v>
      </c>
      <c r="BH32" s="781"/>
      <c r="BI32" s="781"/>
      <c r="BJ32" s="781"/>
      <c r="BK32" s="781"/>
      <c r="BL32" s="781"/>
      <c r="BM32" s="781"/>
      <c r="BN32" s="781"/>
      <c r="BO32" s="781"/>
      <c r="BP32" s="781"/>
      <c r="BQ32" s="781"/>
      <c r="BR32" s="781"/>
      <c r="BS32" s="781"/>
      <c r="BT32" s="781"/>
      <c r="BU32" s="781"/>
      <c r="BV32" s="781"/>
      <c r="BW32" s="781"/>
      <c r="BX32" s="781"/>
      <c r="BY32" s="75"/>
      <c r="BZ32" s="75"/>
      <c r="CA32" s="781" t="s">
        <v>296</v>
      </c>
      <c r="CB32" s="781"/>
      <c r="CC32" s="781"/>
      <c r="CD32" s="781"/>
      <c r="CE32" s="781"/>
      <c r="CF32" s="781"/>
      <c r="CG32" s="781"/>
      <c r="CH32" s="781"/>
      <c r="CI32" s="781"/>
      <c r="CJ32" s="781"/>
      <c r="CK32" s="781"/>
      <c r="CL32" s="781"/>
      <c r="CM32" s="781"/>
      <c r="CN32" s="781"/>
      <c r="CO32" s="781"/>
      <c r="CP32" s="781"/>
      <c r="CQ32" s="781"/>
      <c r="CR32" s="781"/>
    </row>
    <row r="33" spans="1:96" ht="3" customHeight="1">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6"/>
      <c r="AN33" s="76"/>
      <c r="AO33" s="76"/>
      <c r="AP33" s="76"/>
      <c r="AQ33" s="76"/>
      <c r="AR33" s="76"/>
      <c r="AS33" s="76"/>
      <c r="AT33" s="76"/>
      <c r="AU33" s="76"/>
      <c r="AV33" s="76"/>
      <c r="AW33" s="76"/>
      <c r="AX33" s="76"/>
      <c r="AY33" s="76"/>
      <c r="AZ33" s="76"/>
      <c r="BA33" s="76"/>
      <c r="BB33" s="76"/>
      <c r="BC33" s="76"/>
      <c r="BD33" s="76"/>
      <c r="BE33" s="75"/>
      <c r="BF33" s="75"/>
      <c r="BG33" s="76"/>
      <c r="BH33" s="76"/>
      <c r="BI33" s="76"/>
      <c r="BJ33" s="76"/>
      <c r="BK33" s="76"/>
      <c r="BL33" s="76"/>
      <c r="BM33" s="76"/>
      <c r="BN33" s="76"/>
      <c r="BO33" s="76"/>
      <c r="BP33" s="76"/>
      <c r="BQ33" s="76"/>
      <c r="BR33" s="76"/>
      <c r="BS33" s="76"/>
      <c r="BT33" s="76"/>
      <c r="BU33" s="76"/>
      <c r="BV33" s="76"/>
      <c r="BW33" s="76"/>
      <c r="BX33" s="76"/>
      <c r="BY33" s="75"/>
      <c r="BZ33" s="75"/>
      <c r="CA33" s="76"/>
      <c r="CB33" s="76"/>
      <c r="CC33" s="76"/>
      <c r="CD33" s="76"/>
      <c r="CE33" s="76"/>
      <c r="CF33" s="76"/>
      <c r="CG33" s="76"/>
      <c r="CH33" s="76"/>
      <c r="CI33" s="76"/>
      <c r="CJ33" s="76"/>
      <c r="CK33" s="76"/>
      <c r="CL33" s="76"/>
      <c r="CM33" s="76"/>
      <c r="CN33" s="76"/>
      <c r="CO33" s="76"/>
      <c r="CP33" s="76"/>
      <c r="CQ33" s="76"/>
      <c r="CR33" s="76"/>
    </row>
    <row r="34" spans="1:96" ht="13.15" customHeight="1">
      <c r="A34" s="75"/>
      <c r="B34" s="75"/>
      <c r="C34" s="75"/>
      <c r="D34" s="75"/>
      <c r="E34" s="75"/>
      <c r="F34" s="75"/>
      <c r="G34" s="75"/>
      <c r="H34" s="75"/>
      <c r="I34" s="788" t="s">
        <v>297</v>
      </c>
      <c r="J34" s="788"/>
      <c r="K34" s="789"/>
      <c r="L34" s="789"/>
      <c r="M34" s="789"/>
      <c r="N34" s="790" t="s">
        <v>297</v>
      </c>
      <c r="O34" s="790"/>
      <c r="P34" s="75"/>
      <c r="Q34" s="789"/>
      <c r="R34" s="789"/>
      <c r="S34" s="789"/>
      <c r="T34" s="789"/>
      <c r="U34" s="789"/>
      <c r="V34" s="789"/>
      <c r="W34" s="789"/>
      <c r="X34" s="789"/>
      <c r="Y34" s="789"/>
      <c r="Z34" s="789"/>
      <c r="AA34" s="789"/>
      <c r="AB34" s="789"/>
      <c r="AC34" s="789"/>
      <c r="AD34" s="789"/>
      <c r="AE34" s="789"/>
      <c r="AF34" s="65"/>
      <c r="AG34" s="791" t="s">
        <v>235</v>
      </c>
      <c r="AH34" s="792"/>
      <c r="AI34" s="792"/>
      <c r="AJ34" s="792"/>
      <c r="AK34" s="792"/>
      <c r="AL34" s="67" t="s">
        <v>300</v>
      </c>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row>
    <row r="35" spans="1:96" ht="10.9" customHeight="1">
      <c r="A35" s="7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row>
    <row r="36" spans="1:96" ht="3" customHeight="1">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8"/>
      <c r="CN36" s="75"/>
      <c r="CO36" s="75"/>
      <c r="CP36" s="75"/>
      <c r="CQ36" s="75"/>
      <c r="CR36" s="75"/>
    </row>
    <row r="37" spans="1:96" ht="20.25" customHeight="1">
      <c r="A37" s="79" t="s">
        <v>301</v>
      </c>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1"/>
      <c r="CN37" s="75"/>
      <c r="CO37" s="75"/>
      <c r="CP37" s="75"/>
      <c r="CQ37" s="75"/>
      <c r="CR37" s="75"/>
    </row>
    <row r="38" spans="1:96" ht="27.75" customHeight="1">
      <c r="A38" s="777" t="s">
        <v>302</v>
      </c>
      <c r="B38" s="778"/>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c r="AG38" s="778"/>
      <c r="AH38" s="778"/>
      <c r="AI38" s="778"/>
      <c r="AJ38" s="778"/>
      <c r="AK38" s="778"/>
      <c r="AL38" s="778"/>
      <c r="AM38" s="778"/>
      <c r="AN38" s="778"/>
      <c r="AO38" s="778"/>
      <c r="AP38" s="778"/>
      <c r="AQ38" s="778"/>
      <c r="AR38" s="778"/>
      <c r="AS38" s="778"/>
      <c r="AT38" s="778"/>
      <c r="AU38" s="778"/>
      <c r="AV38" s="778"/>
      <c r="AW38" s="778"/>
      <c r="AX38" s="778"/>
      <c r="AY38" s="778"/>
      <c r="AZ38" s="778"/>
      <c r="BA38" s="778"/>
      <c r="BB38" s="778"/>
      <c r="BC38" s="778"/>
      <c r="BD38" s="778"/>
      <c r="BE38" s="778"/>
      <c r="BF38" s="778"/>
      <c r="BG38" s="778"/>
      <c r="BH38" s="778"/>
      <c r="BI38" s="778"/>
      <c r="BJ38" s="778"/>
      <c r="BK38" s="778"/>
      <c r="BL38" s="778"/>
      <c r="BM38" s="778"/>
      <c r="BN38" s="778"/>
      <c r="BO38" s="778"/>
      <c r="BP38" s="778"/>
      <c r="BQ38" s="778"/>
      <c r="BR38" s="778"/>
      <c r="BS38" s="778"/>
      <c r="BT38" s="778"/>
      <c r="BU38" s="778"/>
      <c r="BV38" s="778"/>
      <c r="BW38" s="778"/>
      <c r="BX38" s="778"/>
      <c r="BY38" s="778"/>
      <c r="BZ38" s="778"/>
      <c r="CA38" s="778"/>
      <c r="CB38" s="778"/>
      <c r="CC38" s="778"/>
      <c r="CD38" s="778"/>
      <c r="CE38" s="778"/>
      <c r="CF38" s="778"/>
      <c r="CG38" s="778"/>
      <c r="CH38" s="778"/>
      <c r="CI38" s="778"/>
      <c r="CJ38" s="778"/>
      <c r="CK38" s="778"/>
      <c r="CL38" s="778"/>
      <c r="CM38" s="779"/>
      <c r="CN38" s="75"/>
      <c r="CO38" s="75"/>
      <c r="CP38" s="75"/>
      <c r="CQ38" s="75"/>
      <c r="CR38" s="75"/>
    </row>
    <row r="39" spans="1:96" ht="7.9" customHeight="1">
      <c r="A39" s="774" t="s">
        <v>303</v>
      </c>
      <c r="B39" s="775"/>
      <c r="C39" s="775"/>
      <c r="D39" s="775"/>
      <c r="E39" s="775"/>
      <c r="F39" s="775"/>
      <c r="G39" s="775"/>
      <c r="H39" s="775"/>
      <c r="I39" s="775"/>
      <c r="J39" s="775"/>
      <c r="K39" s="775"/>
      <c r="L39" s="775"/>
      <c r="M39" s="775"/>
      <c r="N39" s="775"/>
      <c r="O39" s="775"/>
      <c r="P39" s="775"/>
      <c r="Q39" s="775"/>
      <c r="R39" s="775"/>
      <c r="S39" s="775"/>
      <c r="T39" s="775"/>
      <c r="U39" s="775"/>
      <c r="V39" s="775"/>
      <c r="W39" s="775"/>
      <c r="X39" s="775"/>
      <c r="Y39" s="775"/>
      <c r="Z39" s="775"/>
      <c r="AA39" s="775"/>
      <c r="AB39" s="775"/>
      <c r="AC39" s="775"/>
      <c r="AD39" s="775"/>
      <c r="AE39" s="775"/>
      <c r="AF39" s="775"/>
      <c r="AG39" s="775"/>
      <c r="AH39" s="775"/>
      <c r="AI39" s="775"/>
      <c r="AJ39" s="775"/>
      <c r="AK39" s="775"/>
      <c r="AL39" s="775"/>
      <c r="AM39" s="775"/>
      <c r="AN39" s="775"/>
      <c r="AO39" s="775"/>
      <c r="AP39" s="775"/>
      <c r="AQ39" s="775"/>
      <c r="AR39" s="775"/>
      <c r="AS39" s="775"/>
      <c r="AT39" s="775"/>
      <c r="AU39" s="775"/>
      <c r="AV39" s="775"/>
      <c r="AW39" s="775"/>
      <c r="AX39" s="775"/>
      <c r="AY39" s="775"/>
      <c r="AZ39" s="775"/>
      <c r="BA39" s="775"/>
      <c r="BB39" s="775"/>
      <c r="BC39" s="775"/>
      <c r="BD39" s="775"/>
      <c r="BE39" s="775"/>
      <c r="BF39" s="775"/>
      <c r="BG39" s="775"/>
      <c r="BH39" s="775"/>
      <c r="BI39" s="775"/>
      <c r="BJ39" s="775"/>
      <c r="BK39" s="775"/>
      <c r="BL39" s="775"/>
      <c r="BM39" s="775"/>
      <c r="BN39" s="775"/>
      <c r="BO39" s="775"/>
      <c r="BP39" s="775"/>
      <c r="BQ39" s="775"/>
      <c r="BR39" s="775"/>
      <c r="BS39" s="775"/>
      <c r="BT39" s="775"/>
      <c r="BU39" s="775"/>
      <c r="BV39" s="775"/>
      <c r="BW39" s="775"/>
      <c r="BX39" s="775"/>
      <c r="BY39" s="775"/>
      <c r="BZ39" s="775"/>
      <c r="CA39" s="775"/>
      <c r="CB39" s="775"/>
      <c r="CC39" s="775"/>
      <c r="CD39" s="775"/>
      <c r="CE39" s="775"/>
      <c r="CF39" s="775"/>
      <c r="CG39" s="775"/>
      <c r="CH39" s="775"/>
      <c r="CI39" s="775"/>
      <c r="CJ39" s="775"/>
      <c r="CK39" s="775"/>
      <c r="CL39" s="775"/>
      <c r="CM39" s="776"/>
      <c r="CN39" s="75"/>
      <c r="CO39" s="75"/>
      <c r="CP39" s="75"/>
      <c r="CQ39" s="75"/>
      <c r="CR39" s="75"/>
    </row>
    <row r="40" spans="1:96" ht="6" customHeight="1">
      <c r="A40" s="82"/>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4"/>
      <c r="CN40" s="75"/>
      <c r="CO40" s="75"/>
      <c r="CP40" s="75"/>
      <c r="CQ40" s="75"/>
      <c r="CR40" s="75"/>
    </row>
    <row r="41" spans="1:96" ht="26.25" customHeight="1">
      <c r="A41" s="777"/>
      <c r="B41" s="778"/>
      <c r="C41" s="778"/>
      <c r="D41" s="778"/>
      <c r="E41" s="778"/>
      <c r="F41" s="778"/>
      <c r="G41" s="778"/>
      <c r="H41" s="778"/>
      <c r="I41" s="778"/>
      <c r="J41" s="778"/>
      <c r="K41" s="778"/>
      <c r="L41" s="778"/>
      <c r="M41" s="778"/>
      <c r="N41" s="778"/>
      <c r="O41" s="778"/>
      <c r="P41" s="778"/>
      <c r="Q41" s="778"/>
      <c r="R41" s="778"/>
      <c r="S41" s="778"/>
      <c r="T41" s="778"/>
      <c r="U41" s="778"/>
      <c r="V41" s="778"/>
      <c r="W41" s="778"/>
      <c r="X41" s="778"/>
      <c r="Y41" s="778"/>
      <c r="Z41" s="80"/>
      <c r="AA41" s="80"/>
      <c r="AB41" s="80"/>
      <c r="AC41" s="80"/>
      <c r="AD41" s="80"/>
      <c r="AE41" s="80"/>
      <c r="AF41" s="80"/>
      <c r="AG41" s="80"/>
      <c r="AH41" s="778" t="s">
        <v>304</v>
      </c>
      <c r="AI41" s="778"/>
      <c r="AJ41" s="778"/>
      <c r="AK41" s="778"/>
      <c r="AL41" s="778"/>
      <c r="AM41" s="778"/>
      <c r="AN41" s="778"/>
      <c r="AO41" s="778"/>
      <c r="AP41" s="778"/>
      <c r="AQ41" s="778"/>
      <c r="AR41" s="778"/>
      <c r="AS41" s="778"/>
      <c r="AT41" s="778"/>
      <c r="AU41" s="778"/>
      <c r="AV41" s="778"/>
      <c r="AW41" s="778"/>
      <c r="AX41" s="778"/>
      <c r="AY41" s="778"/>
      <c r="AZ41" s="778"/>
      <c r="BA41" s="778"/>
      <c r="BB41" s="778"/>
      <c r="BC41" s="778"/>
      <c r="BD41" s="778"/>
      <c r="BE41" s="778"/>
      <c r="BF41" s="778"/>
      <c r="BG41" s="778"/>
      <c r="BH41" s="778"/>
      <c r="BI41" s="778"/>
      <c r="BJ41" s="778"/>
      <c r="BK41" s="778"/>
      <c r="BL41" s="778"/>
      <c r="BM41" s="778"/>
      <c r="BN41" s="778"/>
      <c r="BO41" s="778"/>
      <c r="BP41" s="778"/>
      <c r="BQ41" s="778"/>
      <c r="BR41" s="778"/>
      <c r="BS41" s="778"/>
      <c r="BT41" s="778"/>
      <c r="BU41" s="778"/>
      <c r="BV41" s="778"/>
      <c r="BW41" s="778"/>
      <c r="BX41" s="778"/>
      <c r="BY41" s="778"/>
      <c r="BZ41" s="778"/>
      <c r="CA41" s="778"/>
      <c r="CB41" s="778"/>
      <c r="CC41" s="778"/>
      <c r="CD41" s="778"/>
      <c r="CE41" s="778"/>
      <c r="CF41" s="778"/>
      <c r="CG41" s="778"/>
      <c r="CH41" s="778"/>
      <c r="CI41" s="778"/>
      <c r="CJ41" s="778"/>
      <c r="CK41" s="778"/>
      <c r="CL41" s="778"/>
      <c r="CM41" s="779"/>
      <c r="CN41" s="75"/>
      <c r="CO41" s="75"/>
      <c r="CP41" s="75"/>
      <c r="CQ41" s="75"/>
      <c r="CR41" s="75"/>
    </row>
    <row r="42" spans="1:96" ht="12.75" customHeight="1">
      <c r="A42" s="780" t="s">
        <v>305</v>
      </c>
      <c r="B42" s="781"/>
      <c r="C42" s="781"/>
      <c r="D42" s="781"/>
      <c r="E42" s="781"/>
      <c r="F42" s="781"/>
      <c r="G42" s="781"/>
      <c r="H42" s="781"/>
      <c r="I42" s="781"/>
      <c r="J42" s="781"/>
      <c r="K42" s="781"/>
      <c r="L42" s="781"/>
      <c r="M42" s="781"/>
      <c r="N42" s="781"/>
      <c r="O42" s="781"/>
      <c r="P42" s="781"/>
      <c r="Q42" s="781"/>
      <c r="R42" s="781"/>
      <c r="S42" s="781"/>
      <c r="T42" s="781"/>
      <c r="U42" s="781"/>
      <c r="V42" s="781"/>
      <c r="W42" s="781"/>
      <c r="X42" s="781"/>
      <c r="Y42" s="781"/>
      <c r="Z42" s="85"/>
      <c r="AA42" s="85"/>
      <c r="AB42" s="85"/>
      <c r="AC42" s="85"/>
      <c r="AD42" s="85"/>
      <c r="AE42" s="85"/>
      <c r="AF42" s="85"/>
      <c r="AG42" s="85"/>
      <c r="AH42" s="781" t="s">
        <v>199</v>
      </c>
      <c r="AI42" s="781"/>
      <c r="AJ42" s="781"/>
      <c r="AK42" s="781"/>
      <c r="AL42" s="781"/>
      <c r="AM42" s="781"/>
      <c r="AN42" s="781"/>
      <c r="AO42" s="781"/>
      <c r="AP42" s="781"/>
      <c r="AQ42" s="781"/>
      <c r="AR42" s="781"/>
      <c r="AS42" s="781"/>
      <c r="AT42" s="781"/>
      <c r="AU42" s="781"/>
      <c r="AV42" s="781"/>
      <c r="AW42" s="781"/>
      <c r="AX42" s="781"/>
      <c r="AY42" s="781"/>
      <c r="AZ42" s="781"/>
      <c r="BA42" s="781"/>
      <c r="BB42" s="781"/>
      <c r="BC42" s="781"/>
      <c r="BD42" s="781"/>
      <c r="BE42" s="781"/>
      <c r="BF42" s="781"/>
      <c r="BG42" s="781"/>
      <c r="BH42" s="781"/>
      <c r="BI42" s="781"/>
      <c r="BJ42" s="781"/>
      <c r="BK42" s="781"/>
      <c r="BL42" s="781"/>
      <c r="BM42" s="781"/>
      <c r="BN42" s="781"/>
      <c r="BO42" s="781"/>
      <c r="BP42" s="781"/>
      <c r="BQ42" s="781"/>
      <c r="BR42" s="781"/>
      <c r="BS42" s="781"/>
      <c r="BT42" s="781"/>
      <c r="BU42" s="781"/>
      <c r="BV42" s="781"/>
      <c r="BW42" s="781"/>
      <c r="BX42" s="781"/>
      <c r="BY42" s="781"/>
      <c r="BZ42" s="781"/>
      <c r="CA42" s="781"/>
      <c r="CB42" s="781"/>
      <c r="CC42" s="781"/>
      <c r="CD42" s="781"/>
      <c r="CE42" s="781"/>
      <c r="CF42" s="781"/>
      <c r="CG42" s="781"/>
      <c r="CH42" s="781"/>
      <c r="CI42" s="781"/>
      <c r="CJ42" s="781"/>
      <c r="CK42" s="781"/>
      <c r="CL42" s="781"/>
      <c r="CM42" s="782"/>
      <c r="CN42" s="75"/>
      <c r="CO42" s="75"/>
      <c r="CP42" s="75"/>
      <c r="CQ42" s="75"/>
      <c r="CR42" s="75"/>
    </row>
    <row r="43" spans="1:96" ht="10.15" customHeight="1">
      <c r="A43" s="79"/>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1"/>
      <c r="CN43" s="75"/>
      <c r="CO43" s="75"/>
      <c r="CP43" s="75"/>
      <c r="CQ43" s="75"/>
      <c r="CR43" s="75"/>
    </row>
    <row r="44" spans="1:96" ht="32.25" customHeight="1">
      <c r="A44" s="783" t="s">
        <v>297</v>
      </c>
      <c r="B44" s="784"/>
      <c r="C44" s="832"/>
      <c r="D44" s="832"/>
      <c r="E44" s="832"/>
      <c r="F44" s="786" t="s">
        <v>297</v>
      </c>
      <c r="G44" s="786"/>
      <c r="H44" s="80"/>
      <c r="I44" s="833"/>
      <c r="J44" s="833"/>
      <c r="K44" s="833"/>
      <c r="L44" s="833"/>
      <c r="M44" s="833"/>
      <c r="N44" s="833"/>
      <c r="O44" s="833"/>
      <c r="P44" s="833"/>
      <c r="Q44" s="833"/>
      <c r="R44" s="833"/>
      <c r="S44" s="833"/>
      <c r="T44" s="833"/>
      <c r="U44" s="833"/>
      <c r="V44" s="833"/>
      <c r="W44" s="833"/>
      <c r="X44" s="784">
        <v>20</v>
      </c>
      <c r="Y44" s="784"/>
      <c r="Z44" s="784"/>
      <c r="AA44" s="787" t="s">
        <v>306</v>
      </c>
      <c r="AB44" s="787"/>
      <c r="AC44" s="787"/>
      <c r="AD44" s="86" t="s">
        <v>300</v>
      </c>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1"/>
      <c r="CN44" s="75"/>
      <c r="CO44" s="75"/>
      <c r="CP44" s="75"/>
      <c r="CQ44" s="75"/>
      <c r="CR44" s="75"/>
    </row>
    <row r="45" spans="1:96" ht="7.9" customHeight="1">
      <c r="A45" s="780"/>
      <c r="B45" s="781"/>
      <c r="C45" s="781"/>
      <c r="D45" s="781"/>
      <c r="E45" s="781"/>
      <c r="F45" s="781"/>
      <c r="G45" s="781"/>
      <c r="H45" s="781"/>
      <c r="I45" s="781"/>
      <c r="J45" s="781"/>
      <c r="K45" s="781"/>
      <c r="L45" s="781"/>
      <c r="M45" s="781"/>
      <c r="N45" s="781"/>
      <c r="O45" s="781"/>
      <c r="P45" s="781"/>
      <c r="Q45" s="781"/>
      <c r="R45" s="781"/>
      <c r="S45" s="781"/>
      <c r="T45" s="781"/>
      <c r="U45" s="781"/>
      <c r="V45" s="781"/>
      <c r="W45" s="781"/>
      <c r="X45" s="781"/>
      <c r="Y45" s="781"/>
      <c r="AH45" s="831"/>
      <c r="AI45" s="831"/>
      <c r="AJ45" s="831"/>
      <c r="AK45" s="831"/>
      <c r="AL45" s="831"/>
      <c r="AM45" s="831"/>
      <c r="AN45" s="831"/>
      <c r="AO45" s="831"/>
      <c r="AP45" s="831"/>
      <c r="AQ45" s="831"/>
      <c r="AR45" s="831"/>
      <c r="AS45" s="831"/>
      <c r="AT45" s="831"/>
      <c r="AU45" s="831"/>
      <c r="AV45" s="831"/>
      <c r="AW45" s="831"/>
      <c r="AX45" s="831"/>
      <c r="AY45" s="831"/>
      <c r="AZ45" s="831"/>
      <c r="BA45" s="831"/>
      <c r="BB45" s="831"/>
      <c r="BC45" s="831"/>
      <c r="BD45" s="831"/>
      <c r="BE45" s="831"/>
      <c r="BF45" s="831"/>
      <c r="BG45" s="831"/>
      <c r="BH45" s="831"/>
      <c r="BI45" s="831"/>
      <c r="BJ45" s="831"/>
      <c r="BK45" s="831"/>
      <c r="BL45" s="831"/>
      <c r="BM45" s="831"/>
      <c r="BN45" s="831"/>
      <c r="BO45" s="831"/>
      <c r="BP45" s="831"/>
      <c r="BQ45" s="831"/>
      <c r="BR45" s="831"/>
      <c r="BS45" s="831"/>
      <c r="BT45" s="831"/>
      <c r="BU45" s="831"/>
      <c r="BV45" s="831"/>
      <c r="BW45" s="831"/>
      <c r="BX45" s="831"/>
      <c r="BY45" s="831"/>
      <c r="BZ45" s="831"/>
      <c r="CA45" s="831"/>
      <c r="CB45" s="831"/>
      <c r="CC45" s="831"/>
      <c r="CD45" s="831"/>
      <c r="CE45" s="831"/>
      <c r="CF45" s="831"/>
      <c r="CG45" s="831"/>
      <c r="CH45" s="831"/>
      <c r="CI45" s="831"/>
      <c r="CJ45" s="831"/>
      <c r="CK45" s="831"/>
      <c r="CL45" s="831"/>
      <c r="CM45" s="782"/>
    </row>
    <row r="46" spans="1:96" ht="10.15" customHeight="1">
      <c r="A46" s="106"/>
      <c r="CM46" s="107"/>
    </row>
    <row r="47" spans="1:96" ht="3" customHeight="1">
      <c r="A47" s="87"/>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9"/>
    </row>
  </sheetData>
  <mergeCells count="105">
    <mergeCell ref="B1:DA1"/>
    <mergeCell ref="A3:H5"/>
    <mergeCell ref="I3:CM5"/>
    <mergeCell ref="CN3:CU5"/>
    <mergeCell ref="CV3:CV5"/>
    <mergeCell ref="CW3:CW5"/>
    <mergeCell ref="CX3:DA3"/>
    <mergeCell ref="DA4:DA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M31:BD31"/>
    <mergeCell ref="BG31:BX31"/>
    <mergeCell ref="CA31:CR31"/>
    <mergeCell ref="AM32:BD32"/>
    <mergeCell ref="BG32:BX32"/>
    <mergeCell ref="CA32:CR32"/>
    <mergeCell ref="I34:J34"/>
    <mergeCell ref="K34:M34"/>
    <mergeCell ref="N34:O34"/>
    <mergeCell ref="Q34:AE34"/>
    <mergeCell ref="AG34:AK34"/>
    <mergeCell ref="A38:CM38"/>
    <mergeCell ref="A45:Y45"/>
    <mergeCell ref="AH45:CM45"/>
    <mergeCell ref="A39:CM39"/>
    <mergeCell ref="A41:Y41"/>
    <mergeCell ref="AH41:CM41"/>
    <mergeCell ref="A42:Y42"/>
    <mergeCell ref="AH42:CM42"/>
    <mergeCell ref="A44:B44"/>
    <mergeCell ref="C44:E44"/>
    <mergeCell ref="F44:G44"/>
    <mergeCell ref="I44:W44"/>
    <mergeCell ref="X44:Z44"/>
    <mergeCell ref="AA44:AC44"/>
  </mergeCells>
  <pageMargins left="0.59055118110236238" right="0.51181102362204722" top="0.78740157480314954" bottom="0.31496062992125984" header="0.19685039370078738" footer="0.19685039370078738"/>
  <pageSetup paperSize="9" scale="55" orientation="portrait" r:id="rId1"/>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pageSetUpPr fitToPage="1"/>
  </sheetPr>
  <dimension ref="A1:DA56"/>
  <sheetViews>
    <sheetView workbookViewId="0">
      <selection activeCell="B1" sqref="B1:DA1"/>
    </sheetView>
  </sheetViews>
  <sheetFormatPr defaultRowHeight="10.15" customHeight="1"/>
  <cols>
    <col min="1" max="5" width="0.85546875" style="28" bestFit="1" customWidth="1"/>
    <col min="6" max="6" width="1.85546875" style="28" bestFit="1" customWidth="1"/>
    <col min="7" max="7" width="1.42578125" style="28" bestFit="1" customWidth="1"/>
    <col min="8" max="24" width="0.85546875" style="28" bestFit="1" customWidth="1"/>
    <col min="25" max="25" width="2.42578125" style="28" bestFit="1" customWidth="1"/>
    <col min="26" max="28" width="0.85546875" style="28" bestFit="1" customWidth="1"/>
    <col min="29" max="29" width="2" style="28" bestFit="1" customWidth="1"/>
    <col min="30" max="99" width="0.85546875" style="28" bestFit="1" customWidth="1"/>
    <col min="100" max="100" width="8.7109375" style="28" bestFit="1" customWidth="1"/>
    <col min="101" max="101" width="13.7109375" style="28" bestFit="1" customWidth="1"/>
    <col min="102" max="105" width="11.7109375" style="28" bestFit="1" customWidth="1"/>
    <col min="106" max="106" width="9.140625" style="28" bestFit="1"/>
    <col min="107" max="16384" width="9.140625" style="28"/>
  </cols>
  <sheetData>
    <row r="1" spans="1:105" ht="15" customHeight="1">
      <c r="B1" s="758" t="s">
        <v>226</v>
      </c>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758"/>
      <c r="AN1" s="758"/>
      <c r="AO1" s="758"/>
      <c r="AP1" s="758"/>
      <c r="AQ1" s="758"/>
      <c r="AR1" s="758"/>
      <c r="AS1" s="758"/>
      <c r="AT1" s="758"/>
      <c r="AU1" s="758"/>
      <c r="AV1" s="758"/>
      <c r="AW1" s="758"/>
      <c r="AX1" s="758"/>
      <c r="AY1" s="758"/>
      <c r="AZ1" s="758"/>
      <c r="BA1" s="758"/>
      <c r="BB1" s="758"/>
      <c r="BC1" s="758"/>
      <c r="BD1" s="758"/>
      <c r="BE1" s="758"/>
      <c r="BF1" s="758"/>
      <c r="BG1" s="758"/>
      <c r="BH1" s="758"/>
      <c r="BI1" s="758"/>
      <c r="BJ1" s="758"/>
      <c r="BK1" s="758"/>
      <c r="BL1" s="758"/>
      <c r="BM1" s="758"/>
      <c r="BN1" s="758"/>
      <c r="BO1" s="758"/>
      <c r="BP1" s="758"/>
      <c r="BQ1" s="758"/>
      <c r="BR1" s="758"/>
      <c r="BS1" s="758"/>
      <c r="BT1" s="758"/>
      <c r="BU1" s="758"/>
      <c r="BV1" s="758"/>
      <c r="BW1" s="758"/>
      <c r="BX1" s="758"/>
      <c r="BY1" s="758"/>
      <c r="BZ1" s="758"/>
      <c r="CA1" s="758"/>
      <c r="CB1" s="758"/>
      <c r="CC1" s="758"/>
      <c r="CD1" s="758"/>
      <c r="CE1" s="758"/>
      <c r="CF1" s="758"/>
      <c r="CG1" s="758"/>
      <c r="CH1" s="758"/>
      <c r="CI1" s="758"/>
      <c r="CJ1" s="758"/>
      <c r="CK1" s="758"/>
      <c r="CL1" s="758"/>
      <c r="CM1" s="758"/>
      <c r="CN1" s="758"/>
      <c r="CO1" s="758"/>
      <c r="CP1" s="758"/>
      <c r="CQ1" s="758"/>
      <c r="CR1" s="758"/>
      <c r="CS1" s="758"/>
      <c r="CT1" s="758"/>
      <c r="CU1" s="758"/>
      <c r="CV1" s="758"/>
      <c r="CW1" s="758"/>
      <c r="CX1" s="758"/>
      <c r="CY1" s="758"/>
      <c r="CZ1" s="758"/>
      <c r="DA1" s="758"/>
    </row>
    <row r="2" spans="1:105" ht="8.25" customHeight="1"/>
    <row r="3" spans="1:105" ht="11.25" customHeight="1">
      <c r="A3" s="760" t="s">
        <v>227</v>
      </c>
      <c r="B3" s="760"/>
      <c r="C3" s="760"/>
      <c r="D3" s="760"/>
      <c r="E3" s="760"/>
      <c r="F3" s="760"/>
      <c r="G3" s="760"/>
      <c r="H3" s="760"/>
      <c r="I3" s="759" t="s">
        <v>10</v>
      </c>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59"/>
      <c r="BC3" s="759"/>
      <c r="BD3" s="759"/>
      <c r="BE3" s="759"/>
      <c r="BF3" s="759"/>
      <c r="BG3" s="759"/>
      <c r="BH3" s="759"/>
      <c r="BI3" s="759"/>
      <c r="BJ3" s="759"/>
      <c r="BK3" s="759"/>
      <c r="BL3" s="759"/>
      <c r="BM3" s="759"/>
      <c r="BN3" s="759"/>
      <c r="BO3" s="759"/>
      <c r="BP3" s="759"/>
      <c r="BQ3" s="759"/>
      <c r="BR3" s="759"/>
      <c r="BS3" s="759"/>
      <c r="BT3" s="759"/>
      <c r="BU3" s="759"/>
      <c r="BV3" s="759"/>
      <c r="BW3" s="759"/>
      <c r="BX3" s="759"/>
      <c r="BY3" s="759"/>
      <c r="BZ3" s="759"/>
      <c r="CA3" s="759"/>
      <c r="CB3" s="759"/>
      <c r="CC3" s="759"/>
      <c r="CD3" s="759"/>
      <c r="CE3" s="759"/>
      <c r="CF3" s="759"/>
      <c r="CG3" s="759"/>
      <c r="CH3" s="759"/>
      <c r="CI3" s="759"/>
      <c r="CJ3" s="759"/>
      <c r="CK3" s="759"/>
      <c r="CL3" s="759"/>
      <c r="CM3" s="759"/>
      <c r="CN3" s="760" t="s">
        <v>228</v>
      </c>
      <c r="CO3" s="760"/>
      <c r="CP3" s="760"/>
      <c r="CQ3" s="760"/>
      <c r="CR3" s="760"/>
      <c r="CS3" s="760"/>
      <c r="CT3" s="760"/>
      <c r="CU3" s="760"/>
      <c r="CV3" s="760" t="s">
        <v>229</v>
      </c>
      <c r="CW3" s="760" t="s">
        <v>387</v>
      </c>
      <c r="CX3" s="759" t="s">
        <v>14</v>
      </c>
      <c r="CY3" s="759"/>
      <c r="CZ3" s="759"/>
      <c r="DA3" s="759"/>
    </row>
    <row r="4" spans="1:105" ht="11.25" customHeight="1">
      <c r="A4" s="760"/>
      <c r="B4" s="760"/>
      <c r="C4" s="760"/>
      <c r="D4" s="760"/>
      <c r="E4" s="760"/>
      <c r="F4" s="760"/>
      <c r="G4" s="760"/>
      <c r="H4" s="760"/>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759"/>
      <c r="BA4" s="759"/>
      <c r="BB4" s="759"/>
      <c r="BC4" s="759"/>
      <c r="BD4" s="759"/>
      <c r="BE4" s="759"/>
      <c r="BF4" s="759"/>
      <c r="BG4" s="759"/>
      <c r="BH4" s="759"/>
      <c r="BI4" s="759"/>
      <c r="BJ4" s="759"/>
      <c r="BK4" s="759"/>
      <c r="BL4" s="759"/>
      <c r="BM4" s="759"/>
      <c r="BN4" s="759"/>
      <c r="BO4" s="759"/>
      <c r="BP4" s="759"/>
      <c r="BQ4" s="759"/>
      <c r="BR4" s="759"/>
      <c r="BS4" s="759"/>
      <c r="BT4" s="759"/>
      <c r="BU4" s="759"/>
      <c r="BV4" s="759"/>
      <c r="BW4" s="759"/>
      <c r="BX4" s="759"/>
      <c r="BY4" s="759"/>
      <c r="BZ4" s="759"/>
      <c r="CA4" s="759"/>
      <c r="CB4" s="759"/>
      <c r="CC4" s="759"/>
      <c r="CD4" s="759"/>
      <c r="CE4" s="759"/>
      <c r="CF4" s="759"/>
      <c r="CG4" s="759"/>
      <c r="CH4" s="759"/>
      <c r="CI4" s="759"/>
      <c r="CJ4" s="759"/>
      <c r="CK4" s="759"/>
      <c r="CL4" s="759"/>
      <c r="CM4" s="759"/>
      <c r="CN4" s="760"/>
      <c r="CO4" s="760"/>
      <c r="CP4" s="760"/>
      <c r="CQ4" s="760"/>
      <c r="CR4" s="760"/>
      <c r="CS4" s="760"/>
      <c r="CT4" s="760"/>
      <c r="CU4" s="760"/>
      <c r="CV4" s="760"/>
      <c r="CW4" s="760"/>
      <c r="CX4" s="73" t="s">
        <v>15</v>
      </c>
      <c r="CY4" s="73" t="s">
        <v>16</v>
      </c>
      <c r="CZ4" s="73" t="s">
        <v>17</v>
      </c>
      <c r="DA4" s="760" t="s">
        <v>18</v>
      </c>
    </row>
    <row r="5" spans="1:105" ht="39" customHeight="1">
      <c r="A5" s="760"/>
      <c r="B5" s="760"/>
      <c r="C5" s="760"/>
      <c r="D5" s="760"/>
      <c r="E5" s="760"/>
      <c r="F5" s="760"/>
      <c r="G5" s="760"/>
      <c r="H5" s="760"/>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759"/>
      <c r="AT5" s="759"/>
      <c r="AU5" s="759"/>
      <c r="AV5" s="759"/>
      <c r="AW5" s="759"/>
      <c r="AX5" s="759"/>
      <c r="AY5" s="759"/>
      <c r="AZ5" s="759"/>
      <c r="BA5" s="759"/>
      <c r="BB5" s="759"/>
      <c r="BC5" s="759"/>
      <c r="BD5" s="759"/>
      <c r="BE5" s="759"/>
      <c r="BF5" s="759"/>
      <c r="BG5" s="759"/>
      <c r="BH5" s="759"/>
      <c r="BI5" s="759"/>
      <c r="BJ5" s="759"/>
      <c r="BK5" s="759"/>
      <c r="BL5" s="759"/>
      <c r="BM5" s="759"/>
      <c r="BN5" s="759"/>
      <c r="BO5" s="759"/>
      <c r="BP5" s="759"/>
      <c r="BQ5" s="759"/>
      <c r="BR5" s="759"/>
      <c r="BS5" s="759"/>
      <c r="BT5" s="759"/>
      <c r="BU5" s="759"/>
      <c r="BV5" s="759"/>
      <c r="BW5" s="759"/>
      <c r="BX5" s="759"/>
      <c r="BY5" s="759"/>
      <c r="BZ5" s="759"/>
      <c r="CA5" s="759"/>
      <c r="CB5" s="759"/>
      <c r="CC5" s="759"/>
      <c r="CD5" s="759"/>
      <c r="CE5" s="759"/>
      <c r="CF5" s="759"/>
      <c r="CG5" s="759"/>
      <c r="CH5" s="759"/>
      <c r="CI5" s="759"/>
      <c r="CJ5" s="759"/>
      <c r="CK5" s="759"/>
      <c r="CL5" s="759"/>
      <c r="CM5" s="759"/>
      <c r="CN5" s="760"/>
      <c r="CO5" s="760"/>
      <c r="CP5" s="760"/>
      <c r="CQ5" s="760"/>
      <c r="CR5" s="760"/>
      <c r="CS5" s="760"/>
      <c r="CT5" s="760"/>
      <c r="CU5" s="760"/>
      <c r="CV5" s="760"/>
      <c r="CW5" s="760"/>
      <c r="CX5" s="71" t="s">
        <v>230</v>
      </c>
      <c r="CY5" s="74" t="s">
        <v>231</v>
      </c>
      <c r="CZ5" s="74" t="s">
        <v>232</v>
      </c>
      <c r="DA5" s="760"/>
    </row>
    <row r="6" spans="1:105" ht="10.9" customHeight="1">
      <c r="A6" s="808" t="s">
        <v>22</v>
      </c>
      <c r="B6" s="808"/>
      <c r="C6" s="808"/>
      <c r="D6" s="808"/>
      <c r="E6" s="808"/>
      <c r="F6" s="808"/>
      <c r="G6" s="808"/>
      <c r="H6" s="808"/>
      <c r="I6" s="808" t="s">
        <v>23</v>
      </c>
      <c r="J6" s="808"/>
      <c r="K6" s="808"/>
      <c r="L6" s="808"/>
      <c r="M6" s="808"/>
      <c r="N6" s="808"/>
      <c r="O6" s="808"/>
      <c r="P6" s="808"/>
      <c r="Q6" s="808"/>
      <c r="R6" s="808"/>
      <c r="S6" s="808"/>
      <c r="T6" s="808"/>
      <c r="U6" s="808"/>
      <c r="V6" s="808"/>
      <c r="W6" s="808"/>
      <c r="X6" s="808"/>
      <c r="Y6" s="808"/>
      <c r="Z6" s="808"/>
      <c r="AA6" s="808"/>
      <c r="AB6" s="808"/>
      <c r="AC6" s="808"/>
      <c r="AD6" s="808"/>
      <c r="AE6" s="808"/>
      <c r="AF6" s="808"/>
      <c r="AG6" s="808"/>
      <c r="AH6" s="808"/>
      <c r="AI6" s="808"/>
      <c r="AJ6" s="808"/>
      <c r="AK6" s="808"/>
      <c r="AL6" s="808"/>
      <c r="AM6" s="808"/>
      <c r="AN6" s="808"/>
      <c r="AO6" s="808"/>
      <c r="AP6" s="808"/>
      <c r="AQ6" s="808"/>
      <c r="AR6" s="808"/>
      <c r="AS6" s="808"/>
      <c r="AT6" s="808"/>
      <c r="AU6" s="808"/>
      <c r="AV6" s="808"/>
      <c r="AW6" s="808"/>
      <c r="AX6" s="808"/>
      <c r="AY6" s="808"/>
      <c r="AZ6" s="808"/>
      <c r="BA6" s="808"/>
      <c r="BB6" s="808"/>
      <c r="BC6" s="808"/>
      <c r="BD6" s="808"/>
      <c r="BE6" s="808"/>
      <c r="BF6" s="808"/>
      <c r="BG6" s="808"/>
      <c r="BH6" s="808"/>
      <c r="BI6" s="808"/>
      <c r="BJ6" s="808"/>
      <c r="BK6" s="808"/>
      <c r="BL6" s="808"/>
      <c r="BM6" s="808"/>
      <c r="BN6" s="808"/>
      <c r="BO6" s="808"/>
      <c r="BP6" s="808"/>
      <c r="BQ6" s="808"/>
      <c r="BR6" s="808"/>
      <c r="BS6" s="808"/>
      <c r="BT6" s="808"/>
      <c r="BU6" s="808"/>
      <c r="BV6" s="808"/>
      <c r="BW6" s="808"/>
      <c r="BX6" s="808"/>
      <c r="BY6" s="808"/>
      <c r="BZ6" s="808"/>
      <c r="CA6" s="808"/>
      <c r="CB6" s="808"/>
      <c r="CC6" s="808"/>
      <c r="CD6" s="808"/>
      <c r="CE6" s="808"/>
      <c r="CF6" s="808"/>
      <c r="CG6" s="808"/>
      <c r="CH6" s="808"/>
      <c r="CI6" s="808"/>
      <c r="CJ6" s="808"/>
      <c r="CK6" s="808"/>
      <c r="CL6" s="808"/>
      <c r="CM6" s="808"/>
      <c r="CN6" s="808" t="s">
        <v>24</v>
      </c>
      <c r="CO6" s="808"/>
      <c r="CP6" s="808"/>
      <c r="CQ6" s="808"/>
      <c r="CR6" s="808"/>
      <c r="CS6" s="808"/>
      <c r="CT6" s="808"/>
      <c r="CU6" s="808"/>
      <c r="CV6" s="72" t="s">
        <v>25</v>
      </c>
      <c r="CW6" s="72" t="s">
        <v>388</v>
      </c>
      <c r="CX6" s="72" t="s">
        <v>26</v>
      </c>
      <c r="CY6" s="72" t="s">
        <v>27</v>
      </c>
      <c r="CZ6" s="72" t="s">
        <v>28</v>
      </c>
      <c r="DA6" s="72" t="s">
        <v>29</v>
      </c>
    </row>
    <row r="7" spans="1:105" ht="14.25" customHeight="1">
      <c r="A7" s="798">
        <v>1</v>
      </c>
      <c r="B7" s="798"/>
      <c r="C7" s="798"/>
      <c r="D7" s="798"/>
      <c r="E7" s="798"/>
      <c r="F7" s="798"/>
      <c r="G7" s="798"/>
      <c r="H7" s="798"/>
      <c r="I7" s="838" t="s">
        <v>233</v>
      </c>
      <c r="J7" s="838"/>
      <c r="K7" s="838"/>
      <c r="L7" s="838"/>
      <c r="M7" s="838"/>
      <c r="N7" s="838"/>
      <c r="O7" s="838"/>
      <c r="P7" s="838"/>
      <c r="Q7" s="838"/>
      <c r="R7" s="838"/>
      <c r="S7" s="838"/>
      <c r="T7" s="838"/>
      <c r="U7" s="838"/>
      <c r="V7" s="838"/>
      <c r="W7" s="838"/>
      <c r="X7" s="838"/>
      <c r="Y7" s="838"/>
      <c r="Z7" s="838"/>
      <c r="AA7" s="838"/>
      <c r="AB7" s="838"/>
      <c r="AC7" s="838"/>
      <c r="AD7" s="838"/>
      <c r="AE7" s="838"/>
      <c r="AF7" s="838"/>
      <c r="AG7" s="838"/>
      <c r="AH7" s="838"/>
      <c r="AI7" s="838"/>
      <c r="AJ7" s="838"/>
      <c r="AK7" s="838"/>
      <c r="AL7" s="838"/>
      <c r="AM7" s="838"/>
      <c r="AN7" s="838"/>
      <c r="AO7" s="838"/>
      <c r="AP7" s="838"/>
      <c r="AQ7" s="838"/>
      <c r="AR7" s="838"/>
      <c r="AS7" s="838"/>
      <c r="AT7" s="838"/>
      <c r="AU7" s="838"/>
      <c r="AV7" s="838"/>
      <c r="AW7" s="838"/>
      <c r="AX7" s="838"/>
      <c r="AY7" s="838"/>
      <c r="AZ7" s="838"/>
      <c r="BA7" s="838"/>
      <c r="BB7" s="838"/>
      <c r="BC7" s="838"/>
      <c r="BD7" s="838"/>
      <c r="BE7" s="838"/>
      <c r="BF7" s="838"/>
      <c r="BG7" s="838"/>
      <c r="BH7" s="838"/>
      <c r="BI7" s="838"/>
      <c r="BJ7" s="838"/>
      <c r="BK7" s="838"/>
      <c r="BL7" s="838"/>
      <c r="BM7" s="838"/>
      <c r="BN7" s="838"/>
      <c r="BO7" s="838"/>
      <c r="BP7" s="838"/>
      <c r="BQ7" s="838"/>
      <c r="BR7" s="838"/>
      <c r="BS7" s="838"/>
      <c r="BT7" s="838"/>
      <c r="BU7" s="838"/>
      <c r="BV7" s="838"/>
      <c r="BW7" s="838"/>
      <c r="BX7" s="838"/>
      <c r="BY7" s="838"/>
      <c r="BZ7" s="838"/>
      <c r="CA7" s="838"/>
      <c r="CB7" s="838"/>
      <c r="CC7" s="838"/>
      <c r="CD7" s="838"/>
      <c r="CE7" s="838"/>
      <c r="CF7" s="838"/>
      <c r="CG7" s="838"/>
      <c r="CH7" s="838"/>
      <c r="CI7" s="838"/>
      <c r="CJ7" s="838"/>
      <c r="CK7" s="838"/>
      <c r="CL7" s="838"/>
      <c r="CM7" s="838"/>
      <c r="CN7" s="798" t="s">
        <v>234</v>
      </c>
      <c r="CO7" s="798"/>
      <c r="CP7" s="798"/>
      <c r="CQ7" s="798"/>
      <c r="CR7" s="798"/>
      <c r="CS7" s="798"/>
      <c r="CT7" s="798"/>
      <c r="CU7" s="798"/>
      <c r="CV7" s="73" t="s">
        <v>32</v>
      </c>
      <c r="CW7" s="73" t="s">
        <v>32</v>
      </c>
      <c r="CX7" s="108">
        <f>CX10+CX14</f>
        <v>26599084.23</v>
      </c>
      <c r="CY7" s="108">
        <v>13005419.82</v>
      </c>
      <c r="CZ7" s="108">
        <v>12930515.15</v>
      </c>
      <c r="DA7" s="108">
        <v>0</v>
      </c>
    </row>
    <row r="8" spans="1:105" ht="102" customHeight="1">
      <c r="A8" s="793" t="s">
        <v>236</v>
      </c>
      <c r="B8" s="793"/>
      <c r="C8" s="793"/>
      <c r="D8" s="793"/>
      <c r="E8" s="793"/>
      <c r="F8" s="793"/>
      <c r="G8" s="793"/>
      <c r="H8" s="793"/>
      <c r="I8" s="839" t="s">
        <v>237</v>
      </c>
      <c r="J8" s="835"/>
      <c r="K8" s="835"/>
      <c r="L8" s="835"/>
      <c r="M8" s="835"/>
      <c r="N8" s="835"/>
      <c r="O8" s="835"/>
      <c r="P8" s="835"/>
      <c r="Q8" s="835"/>
      <c r="R8" s="835"/>
      <c r="S8" s="835"/>
      <c r="T8" s="835"/>
      <c r="U8" s="835"/>
      <c r="V8" s="835"/>
      <c r="W8" s="835"/>
      <c r="X8" s="835"/>
      <c r="Y8" s="835"/>
      <c r="Z8" s="835"/>
      <c r="AA8" s="835"/>
      <c r="AB8" s="835"/>
      <c r="AC8" s="835"/>
      <c r="AD8" s="835"/>
      <c r="AE8" s="835"/>
      <c r="AF8" s="835"/>
      <c r="AG8" s="835"/>
      <c r="AH8" s="835"/>
      <c r="AI8" s="835"/>
      <c r="AJ8" s="835"/>
      <c r="AK8" s="835"/>
      <c r="AL8" s="835"/>
      <c r="AM8" s="835"/>
      <c r="AN8" s="835"/>
      <c r="AO8" s="835"/>
      <c r="AP8" s="835"/>
      <c r="AQ8" s="835"/>
      <c r="AR8" s="835"/>
      <c r="AS8" s="835"/>
      <c r="AT8" s="835"/>
      <c r="AU8" s="835"/>
      <c r="AV8" s="835"/>
      <c r="AW8" s="835"/>
      <c r="AX8" s="835"/>
      <c r="AY8" s="835"/>
      <c r="AZ8" s="835"/>
      <c r="BA8" s="835"/>
      <c r="BB8" s="835"/>
      <c r="BC8" s="835"/>
      <c r="BD8" s="835"/>
      <c r="BE8" s="835"/>
      <c r="BF8" s="835"/>
      <c r="BG8" s="835"/>
      <c r="BH8" s="835"/>
      <c r="BI8" s="835"/>
      <c r="BJ8" s="835"/>
      <c r="BK8" s="835"/>
      <c r="BL8" s="835"/>
      <c r="BM8" s="835"/>
      <c r="BN8" s="835"/>
      <c r="BO8" s="835"/>
      <c r="BP8" s="835"/>
      <c r="BQ8" s="835"/>
      <c r="BR8" s="835"/>
      <c r="BS8" s="835"/>
      <c r="BT8" s="835"/>
      <c r="BU8" s="835"/>
      <c r="BV8" s="835"/>
      <c r="BW8" s="835"/>
      <c r="BX8" s="835"/>
      <c r="BY8" s="835"/>
      <c r="BZ8" s="835"/>
      <c r="CA8" s="835"/>
      <c r="CB8" s="835"/>
      <c r="CC8" s="835"/>
      <c r="CD8" s="835"/>
      <c r="CE8" s="835"/>
      <c r="CF8" s="835"/>
      <c r="CG8" s="835"/>
      <c r="CH8" s="835"/>
      <c r="CI8" s="835"/>
      <c r="CJ8" s="835"/>
      <c r="CK8" s="835"/>
      <c r="CL8" s="835"/>
      <c r="CM8" s="835"/>
      <c r="CN8" s="793" t="s">
        <v>238</v>
      </c>
      <c r="CO8" s="793"/>
      <c r="CP8" s="793"/>
      <c r="CQ8" s="793"/>
      <c r="CR8" s="793"/>
      <c r="CS8" s="793"/>
      <c r="CT8" s="793"/>
      <c r="CU8" s="793"/>
      <c r="CV8" s="73" t="s">
        <v>32</v>
      </c>
      <c r="CW8" s="73" t="s">
        <v>32</v>
      </c>
      <c r="CX8" s="108">
        <v>0</v>
      </c>
      <c r="CY8" s="108">
        <v>0</v>
      </c>
      <c r="CZ8" s="108">
        <v>0</v>
      </c>
      <c r="DA8" s="108">
        <v>0</v>
      </c>
    </row>
    <row r="9" spans="1:105" ht="43.5" customHeight="1">
      <c r="A9" s="793" t="s">
        <v>240</v>
      </c>
      <c r="B9" s="793"/>
      <c r="C9" s="793"/>
      <c r="D9" s="793"/>
      <c r="E9" s="793"/>
      <c r="F9" s="793"/>
      <c r="G9" s="793"/>
      <c r="H9" s="793"/>
      <c r="I9" s="834" t="s">
        <v>241</v>
      </c>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5"/>
      <c r="AY9" s="835"/>
      <c r="AZ9" s="835"/>
      <c r="BA9" s="835"/>
      <c r="BB9" s="835"/>
      <c r="BC9" s="835"/>
      <c r="BD9" s="835"/>
      <c r="BE9" s="835"/>
      <c r="BF9" s="835"/>
      <c r="BG9" s="835"/>
      <c r="BH9" s="835"/>
      <c r="BI9" s="835"/>
      <c r="BJ9" s="835"/>
      <c r="BK9" s="835"/>
      <c r="BL9" s="835"/>
      <c r="BM9" s="835"/>
      <c r="BN9" s="835"/>
      <c r="BO9" s="835"/>
      <c r="BP9" s="835"/>
      <c r="BQ9" s="835"/>
      <c r="BR9" s="835"/>
      <c r="BS9" s="835"/>
      <c r="BT9" s="835"/>
      <c r="BU9" s="835"/>
      <c r="BV9" s="835"/>
      <c r="BW9" s="835"/>
      <c r="BX9" s="835"/>
      <c r="BY9" s="835"/>
      <c r="BZ9" s="835"/>
      <c r="CA9" s="835"/>
      <c r="CB9" s="835"/>
      <c r="CC9" s="835"/>
      <c r="CD9" s="835"/>
      <c r="CE9" s="835"/>
      <c r="CF9" s="835"/>
      <c r="CG9" s="835"/>
      <c r="CH9" s="835"/>
      <c r="CI9" s="835"/>
      <c r="CJ9" s="835"/>
      <c r="CK9" s="835"/>
      <c r="CL9" s="835"/>
      <c r="CM9" s="835"/>
      <c r="CN9" s="793" t="s">
        <v>242</v>
      </c>
      <c r="CO9" s="793"/>
      <c r="CP9" s="793"/>
      <c r="CQ9" s="793"/>
      <c r="CR9" s="793"/>
      <c r="CS9" s="793"/>
      <c r="CT9" s="793"/>
      <c r="CU9" s="793"/>
      <c r="CV9" s="73" t="s">
        <v>32</v>
      </c>
      <c r="CW9" s="73" t="s">
        <v>32</v>
      </c>
      <c r="CX9" s="108">
        <v>0</v>
      </c>
      <c r="CY9" s="108">
        <v>0</v>
      </c>
      <c r="CZ9" s="108">
        <v>0</v>
      </c>
      <c r="DA9" s="108">
        <v>0</v>
      </c>
    </row>
    <row r="10" spans="1:105" ht="25.5" customHeight="1">
      <c r="A10" s="793" t="s">
        <v>243</v>
      </c>
      <c r="B10" s="793"/>
      <c r="C10" s="793"/>
      <c r="D10" s="793"/>
      <c r="E10" s="793"/>
      <c r="F10" s="793"/>
      <c r="G10" s="793"/>
      <c r="H10" s="793"/>
      <c r="I10" s="834" t="s">
        <v>389</v>
      </c>
      <c r="J10" s="835"/>
      <c r="K10" s="835"/>
      <c r="L10" s="835"/>
      <c r="M10" s="835"/>
      <c r="N10" s="835"/>
      <c r="O10" s="835"/>
      <c r="P10" s="835"/>
      <c r="Q10" s="835"/>
      <c r="R10" s="835"/>
      <c r="S10" s="835"/>
      <c r="T10" s="835"/>
      <c r="U10" s="835"/>
      <c r="V10" s="835"/>
      <c r="W10" s="835"/>
      <c r="X10" s="835"/>
      <c r="Y10" s="835"/>
      <c r="Z10" s="835"/>
      <c r="AA10" s="835"/>
      <c r="AB10" s="835"/>
      <c r="AC10" s="835"/>
      <c r="AD10" s="835"/>
      <c r="AE10" s="835"/>
      <c r="AF10" s="835"/>
      <c r="AG10" s="835"/>
      <c r="AH10" s="835"/>
      <c r="AI10" s="835"/>
      <c r="AJ10" s="835"/>
      <c r="AK10" s="835"/>
      <c r="AL10" s="835"/>
      <c r="AM10" s="835"/>
      <c r="AN10" s="835"/>
      <c r="AO10" s="835"/>
      <c r="AP10" s="835"/>
      <c r="AQ10" s="835"/>
      <c r="AR10" s="835"/>
      <c r="AS10" s="835"/>
      <c r="AT10" s="835"/>
      <c r="AU10" s="835"/>
      <c r="AV10" s="835"/>
      <c r="AW10" s="835"/>
      <c r="AX10" s="835"/>
      <c r="AY10" s="835"/>
      <c r="AZ10" s="835"/>
      <c r="BA10" s="835"/>
      <c r="BB10" s="835"/>
      <c r="BC10" s="835"/>
      <c r="BD10" s="835"/>
      <c r="BE10" s="835"/>
      <c r="BF10" s="835"/>
      <c r="BG10" s="835"/>
      <c r="BH10" s="835"/>
      <c r="BI10" s="835"/>
      <c r="BJ10" s="835"/>
      <c r="BK10" s="835"/>
      <c r="BL10" s="835"/>
      <c r="BM10" s="835"/>
      <c r="BN10" s="835"/>
      <c r="BO10" s="835"/>
      <c r="BP10" s="835"/>
      <c r="BQ10" s="835"/>
      <c r="BR10" s="835"/>
      <c r="BS10" s="835"/>
      <c r="BT10" s="835"/>
      <c r="BU10" s="835"/>
      <c r="BV10" s="835"/>
      <c r="BW10" s="835"/>
      <c r="BX10" s="835"/>
      <c r="BY10" s="835"/>
      <c r="BZ10" s="835"/>
      <c r="CA10" s="835"/>
      <c r="CB10" s="835"/>
      <c r="CC10" s="835"/>
      <c r="CD10" s="835"/>
      <c r="CE10" s="835"/>
      <c r="CF10" s="835"/>
      <c r="CG10" s="835"/>
      <c r="CH10" s="835"/>
      <c r="CI10" s="835"/>
      <c r="CJ10" s="835"/>
      <c r="CK10" s="835"/>
      <c r="CL10" s="835"/>
      <c r="CM10" s="835"/>
      <c r="CN10" s="793" t="s">
        <v>245</v>
      </c>
      <c r="CO10" s="793"/>
      <c r="CP10" s="793"/>
      <c r="CQ10" s="793"/>
      <c r="CR10" s="793"/>
      <c r="CS10" s="793"/>
      <c r="CT10" s="793"/>
      <c r="CU10" s="793"/>
      <c r="CV10" s="73" t="s">
        <v>239</v>
      </c>
      <c r="CW10" s="73" t="s">
        <v>32</v>
      </c>
      <c r="CX10" s="108">
        <f>CX11+CX13</f>
        <v>1066553.75</v>
      </c>
      <c r="CY10" s="108">
        <f t="shared" ref="CY10:DA10" si="0">CY11+CY13</f>
        <v>0</v>
      </c>
      <c r="CZ10" s="108">
        <f t="shared" si="0"/>
        <v>0</v>
      </c>
      <c r="DA10" s="108">
        <f t="shared" si="0"/>
        <v>0</v>
      </c>
    </row>
    <row r="11" spans="1:105" ht="25.5" customHeight="1">
      <c r="A11" s="793" t="s">
        <v>390</v>
      </c>
      <c r="B11" s="793"/>
      <c r="C11" s="793"/>
      <c r="D11" s="793"/>
      <c r="E11" s="793"/>
      <c r="F11" s="793"/>
      <c r="G11" s="793"/>
      <c r="H11" s="793"/>
      <c r="I11" s="834" t="s">
        <v>391</v>
      </c>
      <c r="J11" s="835"/>
      <c r="K11" s="835"/>
      <c r="L11" s="835"/>
      <c r="M11" s="835"/>
      <c r="N11" s="835"/>
      <c r="O11" s="835"/>
      <c r="P11" s="835"/>
      <c r="Q11" s="835"/>
      <c r="R11" s="835"/>
      <c r="S11" s="835"/>
      <c r="T11" s="835"/>
      <c r="U11" s="835"/>
      <c r="V11" s="835"/>
      <c r="W11" s="835"/>
      <c r="X11" s="835"/>
      <c r="Y11" s="835"/>
      <c r="Z11" s="835"/>
      <c r="AA11" s="835"/>
      <c r="AB11" s="835"/>
      <c r="AC11" s="835"/>
      <c r="AD11" s="835"/>
      <c r="AE11" s="835"/>
      <c r="AF11" s="835"/>
      <c r="AG11" s="835"/>
      <c r="AH11" s="835"/>
      <c r="AI11" s="835"/>
      <c r="AJ11" s="835"/>
      <c r="AK11" s="835"/>
      <c r="AL11" s="835"/>
      <c r="AM11" s="835"/>
      <c r="AN11" s="835"/>
      <c r="AO11" s="835"/>
      <c r="AP11" s="835"/>
      <c r="AQ11" s="835"/>
      <c r="AR11" s="835"/>
      <c r="AS11" s="835"/>
      <c r="AT11" s="835"/>
      <c r="AU11" s="835"/>
      <c r="AV11" s="835"/>
      <c r="AW11" s="835"/>
      <c r="AX11" s="835"/>
      <c r="AY11" s="835"/>
      <c r="AZ11" s="835"/>
      <c r="BA11" s="835"/>
      <c r="BB11" s="835"/>
      <c r="BC11" s="835"/>
      <c r="BD11" s="835"/>
      <c r="BE11" s="835"/>
      <c r="BF11" s="835"/>
      <c r="BG11" s="835"/>
      <c r="BH11" s="835"/>
      <c r="BI11" s="835"/>
      <c r="BJ11" s="835"/>
      <c r="BK11" s="835"/>
      <c r="BL11" s="835"/>
      <c r="BM11" s="835"/>
      <c r="BN11" s="835"/>
      <c r="BO11" s="835"/>
      <c r="BP11" s="835"/>
      <c r="BQ11" s="835"/>
      <c r="BR11" s="835"/>
      <c r="BS11" s="835"/>
      <c r="BT11" s="835"/>
      <c r="BU11" s="835"/>
      <c r="BV11" s="835"/>
      <c r="BW11" s="835"/>
      <c r="BX11" s="835"/>
      <c r="BY11" s="835"/>
      <c r="BZ11" s="835"/>
      <c r="CA11" s="835"/>
      <c r="CB11" s="835"/>
      <c r="CC11" s="835"/>
      <c r="CD11" s="835"/>
      <c r="CE11" s="835"/>
      <c r="CF11" s="835"/>
      <c r="CG11" s="835"/>
      <c r="CH11" s="835"/>
      <c r="CI11" s="835"/>
      <c r="CJ11" s="835"/>
      <c r="CK11" s="835"/>
      <c r="CL11" s="835"/>
      <c r="CM11" s="835"/>
      <c r="CN11" s="793" t="s">
        <v>392</v>
      </c>
      <c r="CO11" s="793"/>
      <c r="CP11" s="793"/>
      <c r="CQ11" s="793"/>
      <c r="CR11" s="793"/>
      <c r="CS11" s="793"/>
      <c r="CT11" s="793"/>
      <c r="CU11" s="793"/>
      <c r="CV11" s="73" t="s">
        <v>32</v>
      </c>
      <c r="CW11" s="73" t="s">
        <v>32</v>
      </c>
      <c r="CX11" s="108">
        <v>0</v>
      </c>
      <c r="CY11" s="108">
        <v>0</v>
      </c>
      <c r="CZ11" s="108">
        <v>0</v>
      </c>
      <c r="DA11" s="108">
        <v>0</v>
      </c>
    </row>
    <row r="12" spans="1:105" ht="15">
      <c r="A12" s="793"/>
      <c r="B12" s="793"/>
      <c r="C12" s="793"/>
      <c r="D12" s="793"/>
      <c r="E12" s="793"/>
      <c r="F12" s="793"/>
      <c r="G12" s="793"/>
      <c r="H12" s="793"/>
      <c r="I12" s="834" t="s">
        <v>393</v>
      </c>
      <c r="J12" s="835"/>
      <c r="K12" s="835"/>
      <c r="L12" s="835"/>
      <c r="M12" s="835"/>
      <c r="N12" s="835"/>
      <c r="O12" s="835"/>
      <c r="P12" s="835"/>
      <c r="Q12" s="835"/>
      <c r="R12" s="835"/>
      <c r="S12" s="835"/>
      <c r="T12" s="835"/>
      <c r="U12" s="835"/>
      <c r="V12" s="835"/>
      <c r="W12" s="835"/>
      <c r="X12" s="835"/>
      <c r="Y12" s="835"/>
      <c r="Z12" s="835"/>
      <c r="AA12" s="835"/>
      <c r="AB12" s="835"/>
      <c r="AC12" s="835"/>
      <c r="AD12" s="835"/>
      <c r="AE12" s="835"/>
      <c r="AF12" s="835"/>
      <c r="AG12" s="835"/>
      <c r="AH12" s="835"/>
      <c r="AI12" s="835"/>
      <c r="AJ12" s="835"/>
      <c r="AK12" s="835"/>
      <c r="AL12" s="835"/>
      <c r="AM12" s="835"/>
      <c r="AN12" s="835"/>
      <c r="AO12" s="835"/>
      <c r="AP12" s="835"/>
      <c r="AQ12" s="835"/>
      <c r="AR12" s="835"/>
      <c r="AS12" s="835"/>
      <c r="AT12" s="835"/>
      <c r="AU12" s="835"/>
      <c r="AV12" s="835"/>
      <c r="AW12" s="835"/>
      <c r="AX12" s="835"/>
      <c r="AY12" s="835"/>
      <c r="AZ12" s="835"/>
      <c r="BA12" s="835"/>
      <c r="BB12" s="835"/>
      <c r="BC12" s="835"/>
      <c r="BD12" s="835"/>
      <c r="BE12" s="835"/>
      <c r="BF12" s="835"/>
      <c r="BG12" s="835"/>
      <c r="BH12" s="835"/>
      <c r="BI12" s="835"/>
      <c r="BJ12" s="835"/>
      <c r="BK12" s="835"/>
      <c r="BL12" s="835"/>
      <c r="BM12" s="835"/>
      <c r="BN12" s="835"/>
      <c r="BO12" s="835"/>
      <c r="BP12" s="835"/>
      <c r="BQ12" s="835"/>
      <c r="BR12" s="835"/>
      <c r="BS12" s="835"/>
      <c r="BT12" s="835"/>
      <c r="BU12" s="835"/>
      <c r="BV12" s="835"/>
      <c r="BW12" s="835"/>
      <c r="BX12" s="835"/>
      <c r="BY12" s="835"/>
      <c r="BZ12" s="835"/>
      <c r="CA12" s="835"/>
      <c r="CB12" s="835"/>
      <c r="CC12" s="835"/>
      <c r="CD12" s="835"/>
      <c r="CE12" s="835"/>
      <c r="CF12" s="835"/>
      <c r="CG12" s="835"/>
      <c r="CH12" s="835"/>
      <c r="CI12" s="835"/>
      <c r="CJ12" s="835"/>
      <c r="CK12" s="835"/>
      <c r="CL12" s="835"/>
      <c r="CM12" s="835"/>
      <c r="CN12" s="793" t="s">
        <v>394</v>
      </c>
      <c r="CO12" s="793"/>
      <c r="CP12" s="793"/>
      <c r="CQ12" s="793"/>
      <c r="CR12" s="793"/>
      <c r="CS12" s="793"/>
      <c r="CT12" s="793"/>
      <c r="CU12" s="793"/>
      <c r="CV12" s="73" t="s">
        <v>32</v>
      </c>
      <c r="CW12" s="73" t="s">
        <v>32</v>
      </c>
      <c r="CX12" s="108">
        <v>0</v>
      </c>
      <c r="CY12" s="108">
        <v>0</v>
      </c>
      <c r="CZ12" s="108">
        <v>0</v>
      </c>
      <c r="DA12" s="108">
        <v>0</v>
      </c>
    </row>
    <row r="13" spans="1:105" ht="15">
      <c r="A13" s="793" t="s">
        <v>395</v>
      </c>
      <c r="B13" s="793"/>
      <c r="C13" s="793"/>
      <c r="D13" s="793"/>
      <c r="E13" s="793"/>
      <c r="F13" s="793"/>
      <c r="G13" s="793"/>
      <c r="H13" s="793"/>
      <c r="I13" s="834" t="s">
        <v>396</v>
      </c>
      <c r="J13" s="835"/>
      <c r="K13" s="835"/>
      <c r="L13" s="835"/>
      <c r="M13" s="835"/>
      <c r="N13" s="835"/>
      <c r="O13" s="835"/>
      <c r="P13" s="835"/>
      <c r="Q13" s="835"/>
      <c r="R13" s="835"/>
      <c r="S13" s="835"/>
      <c r="T13" s="835"/>
      <c r="U13" s="835"/>
      <c r="V13" s="835"/>
      <c r="W13" s="835"/>
      <c r="X13" s="835"/>
      <c r="Y13" s="835"/>
      <c r="Z13" s="835"/>
      <c r="AA13" s="835"/>
      <c r="AB13" s="835"/>
      <c r="AC13" s="835"/>
      <c r="AD13" s="835"/>
      <c r="AE13" s="835"/>
      <c r="AF13" s="835"/>
      <c r="AG13" s="835"/>
      <c r="AH13" s="835"/>
      <c r="AI13" s="835"/>
      <c r="AJ13" s="835"/>
      <c r="AK13" s="835"/>
      <c r="AL13" s="835"/>
      <c r="AM13" s="835"/>
      <c r="AN13" s="835"/>
      <c r="AO13" s="835"/>
      <c r="AP13" s="835"/>
      <c r="AQ13" s="835"/>
      <c r="AR13" s="835"/>
      <c r="AS13" s="835"/>
      <c r="AT13" s="835"/>
      <c r="AU13" s="835"/>
      <c r="AV13" s="835"/>
      <c r="AW13" s="835"/>
      <c r="AX13" s="835"/>
      <c r="AY13" s="835"/>
      <c r="AZ13" s="835"/>
      <c r="BA13" s="835"/>
      <c r="BB13" s="835"/>
      <c r="BC13" s="835"/>
      <c r="BD13" s="835"/>
      <c r="BE13" s="835"/>
      <c r="BF13" s="835"/>
      <c r="BG13" s="835"/>
      <c r="BH13" s="835"/>
      <c r="BI13" s="835"/>
      <c r="BJ13" s="835"/>
      <c r="BK13" s="835"/>
      <c r="BL13" s="835"/>
      <c r="BM13" s="835"/>
      <c r="BN13" s="835"/>
      <c r="BO13" s="835"/>
      <c r="BP13" s="835"/>
      <c r="BQ13" s="835"/>
      <c r="BR13" s="835"/>
      <c r="BS13" s="835"/>
      <c r="BT13" s="835"/>
      <c r="BU13" s="835"/>
      <c r="BV13" s="835"/>
      <c r="BW13" s="835"/>
      <c r="BX13" s="835"/>
      <c r="BY13" s="835"/>
      <c r="BZ13" s="835"/>
      <c r="CA13" s="835"/>
      <c r="CB13" s="835"/>
      <c r="CC13" s="835"/>
      <c r="CD13" s="835"/>
      <c r="CE13" s="835"/>
      <c r="CF13" s="835"/>
      <c r="CG13" s="835"/>
      <c r="CH13" s="835"/>
      <c r="CI13" s="835"/>
      <c r="CJ13" s="835"/>
      <c r="CK13" s="835"/>
      <c r="CL13" s="835"/>
      <c r="CM13" s="835"/>
      <c r="CN13" s="793" t="s">
        <v>397</v>
      </c>
      <c r="CO13" s="793"/>
      <c r="CP13" s="793"/>
      <c r="CQ13" s="793"/>
      <c r="CR13" s="793"/>
      <c r="CS13" s="793"/>
      <c r="CT13" s="793"/>
      <c r="CU13" s="793"/>
      <c r="CV13" s="73" t="s">
        <v>239</v>
      </c>
      <c r="CW13" s="73" t="s">
        <v>32</v>
      </c>
      <c r="CX13" s="108">
        <v>1066553.75</v>
      </c>
      <c r="CY13" s="108">
        <v>0</v>
      </c>
      <c r="CZ13" s="108">
        <v>0</v>
      </c>
      <c r="DA13" s="108">
        <v>0</v>
      </c>
    </row>
    <row r="14" spans="1:105" ht="42" customHeight="1">
      <c r="A14" s="793" t="s">
        <v>246</v>
      </c>
      <c r="B14" s="793"/>
      <c r="C14" s="793"/>
      <c r="D14" s="793"/>
      <c r="E14" s="793"/>
      <c r="F14" s="793"/>
      <c r="G14" s="793"/>
      <c r="H14" s="793"/>
      <c r="I14" s="834" t="s">
        <v>398</v>
      </c>
      <c r="J14" s="835"/>
      <c r="K14" s="835"/>
      <c r="L14" s="835"/>
      <c r="M14" s="835"/>
      <c r="N14" s="835"/>
      <c r="O14" s="835"/>
      <c r="P14" s="835"/>
      <c r="Q14" s="835"/>
      <c r="R14" s="835"/>
      <c r="S14" s="835"/>
      <c r="T14" s="835"/>
      <c r="U14" s="835"/>
      <c r="V14" s="835"/>
      <c r="W14" s="835"/>
      <c r="X14" s="835"/>
      <c r="Y14" s="835"/>
      <c r="Z14" s="835"/>
      <c r="AA14" s="835"/>
      <c r="AB14" s="835"/>
      <c r="AC14" s="835"/>
      <c r="AD14" s="835"/>
      <c r="AE14" s="835"/>
      <c r="AF14" s="835"/>
      <c r="AG14" s="835"/>
      <c r="AH14" s="835"/>
      <c r="AI14" s="835"/>
      <c r="AJ14" s="835"/>
      <c r="AK14" s="835"/>
      <c r="AL14" s="835"/>
      <c r="AM14" s="835"/>
      <c r="AN14" s="835"/>
      <c r="AO14" s="835"/>
      <c r="AP14" s="835"/>
      <c r="AQ14" s="835"/>
      <c r="AR14" s="835"/>
      <c r="AS14" s="835"/>
      <c r="AT14" s="835"/>
      <c r="AU14" s="835"/>
      <c r="AV14" s="835"/>
      <c r="AW14" s="835"/>
      <c r="AX14" s="835"/>
      <c r="AY14" s="835"/>
      <c r="AZ14" s="835"/>
      <c r="BA14" s="835"/>
      <c r="BB14" s="835"/>
      <c r="BC14" s="835"/>
      <c r="BD14" s="835"/>
      <c r="BE14" s="835"/>
      <c r="BF14" s="835"/>
      <c r="BG14" s="835"/>
      <c r="BH14" s="835"/>
      <c r="BI14" s="835"/>
      <c r="BJ14" s="835"/>
      <c r="BK14" s="835"/>
      <c r="BL14" s="835"/>
      <c r="BM14" s="835"/>
      <c r="BN14" s="835"/>
      <c r="BO14" s="835"/>
      <c r="BP14" s="835"/>
      <c r="BQ14" s="835"/>
      <c r="BR14" s="835"/>
      <c r="BS14" s="835"/>
      <c r="BT14" s="835"/>
      <c r="BU14" s="835"/>
      <c r="BV14" s="835"/>
      <c r="BW14" s="835"/>
      <c r="BX14" s="835"/>
      <c r="BY14" s="835"/>
      <c r="BZ14" s="835"/>
      <c r="CA14" s="835"/>
      <c r="CB14" s="835"/>
      <c r="CC14" s="835"/>
      <c r="CD14" s="835"/>
      <c r="CE14" s="835"/>
      <c r="CF14" s="835"/>
      <c r="CG14" s="835"/>
      <c r="CH14" s="835"/>
      <c r="CI14" s="835"/>
      <c r="CJ14" s="835"/>
      <c r="CK14" s="835"/>
      <c r="CL14" s="835"/>
      <c r="CM14" s="835"/>
      <c r="CN14" s="793" t="s">
        <v>248</v>
      </c>
      <c r="CO14" s="793"/>
      <c r="CP14" s="793"/>
      <c r="CQ14" s="793"/>
      <c r="CR14" s="793"/>
      <c r="CS14" s="793"/>
      <c r="CT14" s="793"/>
      <c r="CU14" s="793"/>
      <c r="CV14" s="73" t="s">
        <v>235</v>
      </c>
      <c r="CW14" s="73" t="s">
        <v>32</v>
      </c>
      <c r="CX14" s="108">
        <f>CX15+CX18+CX27</f>
        <v>25532530.48</v>
      </c>
      <c r="CY14" s="108">
        <v>13005419.82</v>
      </c>
      <c r="CZ14" s="108">
        <v>12930515.15</v>
      </c>
      <c r="DA14" s="108">
        <v>0</v>
      </c>
    </row>
    <row r="15" spans="1:105" ht="31.5" customHeight="1">
      <c r="A15" s="793" t="s">
        <v>249</v>
      </c>
      <c r="B15" s="793"/>
      <c r="C15" s="793"/>
      <c r="D15" s="793"/>
      <c r="E15" s="793"/>
      <c r="F15" s="793"/>
      <c r="G15" s="793"/>
      <c r="H15" s="793"/>
      <c r="I15" s="834" t="s">
        <v>399</v>
      </c>
      <c r="J15" s="835"/>
      <c r="K15" s="835"/>
      <c r="L15" s="835"/>
      <c r="M15" s="835"/>
      <c r="N15" s="835"/>
      <c r="O15" s="835"/>
      <c r="P15" s="835"/>
      <c r="Q15" s="835"/>
      <c r="R15" s="835"/>
      <c r="S15" s="835"/>
      <c r="T15" s="835"/>
      <c r="U15" s="835"/>
      <c r="V15" s="835"/>
      <c r="W15" s="835"/>
      <c r="X15" s="835"/>
      <c r="Y15" s="835"/>
      <c r="Z15" s="835"/>
      <c r="AA15" s="835"/>
      <c r="AB15" s="835"/>
      <c r="AC15" s="835"/>
      <c r="AD15" s="835"/>
      <c r="AE15" s="835"/>
      <c r="AF15" s="835"/>
      <c r="AG15" s="835"/>
      <c r="AH15" s="835"/>
      <c r="AI15" s="835"/>
      <c r="AJ15" s="835"/>
      <c r="AK15" s="835"/>
      <c r="AL15" s="835"/>
      <c r="AM15" s="835"/>
      <c r="AN15" s="835"/>
      <c r="AO15" s="835"/>
      <c r="AP15" s="835"/>
      <c r="AQ15" s="835"/>
      <c r="AR15" s="835"/>
      <c r="AS15" s="835"/>
      <c r="AT15" s="835"/>
      <c r="AU15" s="835"/>
      <c r="AV15" s="835"/>
      <c r="AW15" s="835"/>
      <c r="AX15" s="835"/>
      <c r="AY15" s="835"/>
      <c r="AZ15" s="835"/>
      <c r="BA15" s="835"/>
      <c r="BB15" s="835"/>
      <c r="BC15" s="835"/>
      <c r="BD15" s="835"/>
      <c r="BE15" s="835"/>
      <c r="BF15" s="835"/>
      <c r="BG15" s="835"/>
      <c r="BH15" s="835"/>
      <c r="BI15" s="835"/>
      <c r="BJ15" s="835"/>
      <c r="BK15" s="835"/>
      <c r="BL15" s="835"/>
      <c r="BM15" s="835"/>
      <c r="BN15" s="835"/>
      <c r="BO15" s="835"/>
      <c r="BP15" s="835"/>
      <c r="BQ15" s="835"/>
      <c r="BR15" s="835"/>
      <c r="BS15" s="835"/>
      <c r="BT15" s="835"/>
      <c r="BU15" s="835"/>
      <c r="BV15" s="835"/>
      <c r="BW15" s="835"/>
      <c r="BX15" s="835"/>
      <c r="BY15" s="835"/>
      <c r="BZ15" s="835"/>
      <c r="CA15" s="835"/>
      <c r="CB15" s="835"/>
      <c r="CC15" s="835"/>
      <c r="CD15" s="835"/>
      <c r="CE15" s="835"/>
      <c r="CF15" s="835"/>
      <c r="CG15" s="835"/>
      <c r="CH15" s="835"/>
      <c r="CI15" s="835"/>
      <c r="CJ15" s="835"/>
      <c r="CK15" s="835"/>
      <c r="CL15" s="835"/>
      <c r="CM15" s="835"/>
      <c r="CN15" s="837" t="s">
        <v>251</v>
      </c>
      <c r="CO15" s="837"/>
      <c r="CP15" s="837"/>
      <c r="CQ15" s="837"/>
      <c r="CR15" s="837"/>
      <c r="CS15" s="837"/>
      <c r="CT15" s="837"/>
      <c r="CU15" s="837"/>
      <c r="CV15" s="73" t="s">
        <v>235</v>
      </c>
      <c r="CW15" s="73" t="s">
        <v>32</v>
      </c>
      <c r="CX15" s="108">
        <f>CX17</f>
        <v>18949353.120000001</v>
      </c>
      <c r="CY15" s="108">
        <v>7945440</v>
      </c>
      <c r="CZ15" s="108">
        <v>8148592.71</v>
      </c>
      <c r="DA15" s="108">
        <v>0</v>
      </c>
    </row>
    <row r="16" spans="1:105" ht="24" customHeight="1">
      <c r="A16" s="793" t="s">
        <v>252</v>
      </c>
      <c r="B16" s="793"/>
      <c r="C16" s="793"/>
      <c r="D16" s="793"/>
      <c r="E16" s="793"/>
      <c r="F16" s="793"/>
      <c r="G16" s="793"/>
      <c r="H16" s="793"/>
      <c r="I16" s="834" t="s">
        <v>400</v>
      </c>
      <c r="J16" s="835"/>
      <c r="K16" s="835"/>
      <c r="L16" s="835"/>
      <c r="M16" s="835"/>
      <c r="N16" s="835"/>
      <c r="O16" s="835"/>
      <c r="P16" s="835"/>
      <c r="Q16" s="835"/>
      <c r="R16" s="835"/>
      <c r="S16" s="835"/>
      <c r="T16" s="835"/>
      <c r="U16" s="835"/>
      <c r="V16" s="835"/>
      <c r="W16" s="835"/>
      <c r="X16" s="835"/>
      <c r="Y16" s="835"/>
      <c r="Z16" s="835"/>
      <c r="AA16" s="835"/>
      <c r="AB16" s="835"/>
      <c r="AC16" s="835"/>
      <c r="AD16" s="835"/>
      <c r="AE16" s="835"/>
      <c r="AF16" s="835"/>
      <c r="AG16" s="835"/>
      <c r="AH16" s="835"/>
      <c r="AI16" s="835"/>
      <c r="AJ16" s="835"/>
      <c r="AK16" s="835"/>
      <c r="AL16" s="835"/>
      <c r="AM16" s="835"/>
      <c r="AN16" s="835"/>
      <c r="AO16" s="835"/>
      <c r="AP16" s="835"/>
      <c r="AQ16" s="835"/>
      <c r="AR16" s="835"/>
      <c r="AS16" s="835"/>
      <c r="AT16" s="835"/>
      <c r="AU16" s="835"/>
      <c r="AV16" s="835"/>
      <c r="AW16" s="835"/>
      <c r="AX16" s="835"/>
      <c r="AY16" s="835"/>
      <c r="AZ16" s="835"/>
      <c r="BA16" s="835"/>
      <c r="BB16" s="835"/>
      <c r="BC16" s="835"/>
      <c r="BD16" s="835"/>
      <c r="BE16" s="835"/>
      <c r="BF16" s="835"/>
      <c r="BG16" s="835"/>
      <c r="BH16" s="835"/>
      <c r="BI16" s="835"/>
      <c r="BJ16" s="835"/>
      <c r="BK16" s="835"/>
      <c r="BL16" s="835"/>
      <c r="BM16" s="835"/>
      <c r="BN16" s="835"/>
      <c r="BO16" s="835"/>
      <c r="BP16" s="835"/>
      <c r="BQ16" s="835"/>
      <c r="BR16" s="835"/>
      <c r="BS16" s="835"/>
      <c r="BT16" s="835"/>
      <c r="BU16" s="835"/>
      <c r="BV16" s="835"/>
      <c r="BW16" s="835"/>
      <c r="BX16" s="835"/>
      <c r="BY16" s="835"/>
      <c r="BZ16" s="835"/>
      <c r="CA16" s="835"/>
      <c r="CB16" s="835"/>
      <c r="CC16" s="835"/>
      <c r="CD16" s="835"/>
      <c r="CE16" s="835"/>
      <c r="CF16" s="835"/>
      <c r="CG16" s="835"/>
      <c r="CH16" s="835"/>
      <c r="CI16" s="835"/>
      <c r="CJ16" s="835"/>
      <c r="CK16" s="835"/>
      <c r="CL16" s="835"/>
      <c r="CM16" s="835"/>
      <c r="CN16" s="793" t="s">
        <v>254</v>
      </c>
      <c r="CO16" s="793"/>
      <c r="CP16" s="793"/>
      <c r="CQ16" s="793"/>
      <c r="CR16" s="793"/>
      <c r="CS16" s="793"/>
      <c r="CT16" s="793"/>
      <c r="CU16" s="793"/>
      <c r="CV16" s="73" t="s">
        <v>32</v>
      </c>
      <c r="CW16" s="73" t="s">
        <v>32</v>
      </c>
      <c r="CX16" s="108">
        <v>0</v>
      </c>
      <c r="CY16" s="108">
        <v>0</v>
      </c>
      <c r="CZ16" s="108">
        <v>0</v>
      </c>
      <c r="DA16" s="108">
        <v>0</v>
      </c>
    </row>
    <row r="17" spans="1:105" ht="24" customHeight="1">
      <c r="A17" s="793" t="s">
        <v>255</v>
      </c>
      <c r="B17" s="793"/>
      <c r="C17" s="793"/>
      <c r="D17" s="793"/>
      <c r="E17" s="793"/>
      <c r="F17" s="793"/>
      <c r="G17" s="793"/>
      <c r="H17" s="793"/>
      <c r="I17" s="834" t="s">
        <v>401</v>
      </c>
      <c r="J17" s="835"/>
      <c r="K17" s="835"/>
      <c r="L17" s="835"/>
      <c r="M17" s="835"/>
      <c r="N17" s="835"/>
      <c r="O17" s="835"/>
      <c r="P17" s="835"/>
      <c r="Q17" s="835"/>
      <c r="R17" s="835"/>
      <c r="S17" s="835"/>
      <c r="T17" s="835"/>
      <c r="U17" s="835"/>
      <c r="V17" s="835"/>
      <c r="W17" s="835"/>
      <c r="X17" s="835"/>
      <c r="Y17" s="835"/>
      <c r="Z17" s="835"/>
      <c r="AA17" s="835"/>
      <c r="AB17" s="835"/>
      <c r="AC17" s="835"/>
      <c r="AD17" s="835"/>
      <c r="AE17" s="835"/>
      <c r="AF17" s="835"/>
      <c r="AG17" s="835"/>
      <c r="AH17" s="835"/>
      <c r="AI17" s="835"/>
      <c r="AJ17" s="835"/>
      <c r="AK17" s="835"/>
      <c r="AL17" s="835"/>
      <c r="AM17" s="835"/>
      <c r="AN17" s="835"/>
      <c r="AO17" s="835"/>
      <c r="AP17" s="835"/>
      <c r="AQ17" s="835"/>
      <c r="AR17" s="835"/>
      <c r="AS17" s="835"/>
      <c r="AT17" s="835"/>
      <c r="AU17" s="835"/>
      <c r="AV17" s="835"/>
      <c r="AW17" s="835"/>
      <c r="AX17" s="835"/>
      <c r="AY17" s="835"/>
      <c r="AZ17" s="835"/>
      <c r="BA17" s="835"/>
      <c r="BB17" s="835"/>
      <c r="BC17" s="835"/>
      <c r="BD17" s="835"/>
      <c r="BE17" s="835"/>
      <c r="BF17" s="835"/>
      <c r="BG17" s="835"/>
      <c r="BH17" s="835"/>
      <c r="BI17" s="835"/>
      <c r="BJ17" s="835"/>
      <c r="BK17" s="835"/>
      <c r="BL17" s="835"/>
      <c r="BM17" s="835"/>
      <c r="BN17" s="835"/>
      <c r="BO17" s="835"/>
      <c r="BP17" s="835"/>
      <c r="BQ17" s="835"/>
      <c r="BR17" s="835"/>
      <c r="BS17" s="835"/>
      <c r="BT17" s="835"/>
      <c r="BU17" s="835"/>
      <c r="BV17" s="835"/>
      <c r="BW17" s="835"/>
      <c r="BX17" s="835"/>
      <c r="BY17" s="835"/>
      <c r="BZ17" s="835"/>
      <c r="CA17" s="835"/>
      <c r="CB17" s="835"/>
      <c r="CC17" s="835"/>
      <c r="CD17" s="835"/>
      <c r="CE17" s="835"/>
      <c r="CF17" s="835"/>
      <c r="CG17" s="835"/>
      <c r="CH17" s="835"/>
      <c r="CI17" s="835"/>
      <c r="CJ17" s="835"/>
      <c r="CK17" s="835"/>
      <c r="CL17" s="835"/>
      <c r="CM17" s="835"/>
      <c r="CN17" s="793" t="s">
        <v>257</v>
      </c>
      <c r="CO17" s="793"/>
      <c r="CP17" s="793"/>
      <c r="CQ17" s="793"/>
      <c r="CR17" s="793"/>
      <c r="CS17" s="793"/>
      <c r="CT17" s="793"/>
      <c r="CU17" s="793"/>
      <c r="CV17" s="73" t="s">
        <v>235</v>
      </c>
      <c r="CW17" s="73" t="s">
        <v>32</v>
      </c>
      <c r="CX17" s="108">
        <v>18949353.120000001</v>
      </c>
      <c r="CY17" s="108">
        <v>7945440</v>
      </c>
      <c r="CZ17" s="108">
        <v>8148592.71</v>
      </c>
      <c r="DA17" s="108">
        <v>0</v>
      </c>
    </row>
    <row r="18" spans="1:105" ht="29.25" customHeight="1">
      <c r="A18" s="793" t="s">
        <v>258</v>
      </c>
      <c r="B18" s="793"/>
      <c r="C18" s="793"/>
      <c r="D18" s="793"/>
      <c r="E18" s="793"/>
      <c r="F18" s="793"/>
      <c r="G18" s="793"/>
      <c r="H18" s="793"/>
      <c r="I18" s="834" t="s">
        <v>259</v>
      </c>
      <c r="J18" s="835"/>
      <c r="K18" s="835"/>
      <c r="L18" s="835"/>
      <c r="M18" s="835"/>
      <c r="N18" s="835"/>
      <c r="O18" s="835"/>
      <c r="P18" s="835"/>
      <c r="Q18" s="835"/>
      <c r="R18" s="835"/>
      <c r="S18" s="835"/>
      <c r="T18" s="835"/>
      <c r="U18" s="835"/>
      <c r="V18" s="835"/>
      <c r="W18" s="835"/>
      <c r="X18" s="835"/>
      <c r="Y18" s="835"/>
      <c r="Z18" s="835"/>
      <c r="AA18" s="835"/>
      <c r="AB18" s="835"/>
      <c r="AC18" s="835"/>
      <c r="AD18" s="835"/>
      <c r="AE18" s="835"/>
      <c r="AF18" s="835"/>
      <c r="AG18" s="835"/>
      <c r="AH18" s="835"/>
      <c r="AI18" s="835"/>
      <c r="AJ18" s="835"/>
      <c r="AK18" s="835"/>
      <c r="AL18" s="835"/>
      <c r="AM18" s="835"/>
      <c r="AN18" s="835"/>
      <c r="AO18" s="835"/>
      <c r="AP18" s="835"/>
      <c r="AQ18" s="835"/>
      <c r="AR18" s="835"/>
      <c r="AS18" s="835"/>
      <c r="AT18" s="835"/>
      <c r="AU18" s="835"/>
      <c r="AV18" s="835"/>
      <c r="AW18" s="835"/>
      <c r="AX18" s="835"/>
      <c r="AY18" s="835"/>
      <c r="AZ18" s="835"/>
      <c r="BA18" s="835"/>
      <c r="BB18" s="835"/>
      <c r="BC18" s="835"/>
      <c r="BD18" s="835"/>
      <c r="BE18" s="835"/>
      <c r="BF18" s="835"/>
      <c r="BG18" s="835"/>
      <c r="BH18" s="835"/>
      <c r="BI18" s="835"/>
      <c r="BJ18" s="835"/>
      <c r="BK18" s="835"/>
      <c r="BL18" s="835"/>
      <c r="BM18" s="835"/>
      <c r="BN18" s="835"/>
      <c r="BO18" s="835"/>
      <c r="BP18" s="835"/>
      <c r="BQ18" s="835"/>
      <c r="BR18" s="835"/>
      <c r="BS18" s="835"/>
      <c r="BT18" s="835"/>
      <c r="BU18" s="835"/>
      <c r="BV18" s="835"/>
      <c r="BW18" s="835"/>
      <c r="BX18" s="835"/>
      <c r="BY18" s="835"/>
      <c r="BZ18" s="835"/>
      <c r="CA18" s="835"/>
      <c r="CB18" s="835"/>
      <c r="CC18" s="835"/>
      <c r="CD18" s="835"/>
      <c r="CE18" s="835"/>
      <c r="CF18" s="835"/>
      <c r="CG18" s="835"/>
      <c r="CH18" s="835"/>
      <c r="CI18" s="835"/>
      <c r="CJ18" s="835"/>
      <c r="CK18" s="835"/>
      <c r="CL18" s="835"/>
      <c r="CM18" s="835"/>
      <c r="CN18" s="837" t="s">
        <v>260</v>
      </c>
      <c r="CO18" s="837"/>
      <c r="CP18" s="837"/>
      <c r="CQ18" s="837"/>
      <c r="CR18" s="837"/>
      <c r="CS18" s="837"/>
      <c r="CT18" s="837"/>
      <c r="CU18" s="837"/>
      <c r="CV18" s="73" t="s">
        <v>235</v>
      </c>
      <c r="CW18" s="73" t="s">
        <v>32</v>
      </c>
      <c r="CX18" s="108">
        <f>CX21</f>
        <v>1101884.3799999999</v>
      </c>
      <c r="CY18" s="108">
        <v>0</v>
      </c>
      <c r="CZ18" s="108">
        <v>0</v>
      </c>
      <c r="DA18" s="108">
        <v>0</v>
      </c>
    </row>
    <row r="19" spans="1:105" ht="15">
      <c r="A19" s="793" t="s">
        <v>261</v>
      </c>
      <c r="B19" s="793"/>
      <c r="C19" s="793"/>
      <c r="D19" s="793"/>
      <c r="E19" s="793"/>
      <c r="F19" s="793"/>
      <c r="G19" s="793"/>
      <c r="H19" s="793"/>
      <c r="I19" s="834" t="s">
        <v>402</v>
      </c>
      <c r="J19" s="835"/>
      <c r="K19" s="835"/>
      <c r="L19" s="835"/>
      <c r="M19" s="835"/>
      <c r="N19" s="835"/>
      <c r="O19" s="835"/>
      <c r="P19" s="835"/>
      <c r="Q19" s="835"/>
      <c r="R19" s="835"/>
      <c r="S19" s="835"/>
      <c r="T19" s="835"/>
      <c r="U19" s="835"/>
      <c r="V19" s="835"/>
      <c r="W19" s="835"/>
      <c r="X19" s="835"/>
      <c r="Y19" s="835"/>
      <c r="Z19" s="835"/>
      <c r="AA19" s="835"/>
      <c r="AB19" s="835"/>
      <c r="AC19" s="835"/>
      <c r="AD19" s="835"/>
      <c r="AE19" s="835"/>
      <c r="AF19" s="835"/>
      <c r="AG19" s="835"/>
      <c r="AH19" s="835"/>
      <c r="AI19" s="835"/>
      <c r="AJ19" s="835"/>
      <c r="AK19" s="835"/>
      <c r="AL19" s="835"/>
      <c r="AM19" s="835"/>
      <c r="AN19" s="835"/>
      <c r="AO19" s="835"/>
      <c r="AP19" s="835"/>
      <c r="AQ19" s="835"/>
      <c r="AR19" s="835"/>
      <c r="AS19" s="835"/>
      <c r="AT19" s="835"/>
      <c r="AU19" s="835"/>
      <c r="AV19" s="835"/>
      <c r="AW19" s="835"/>
      <c r="AX19" s="835"/>
      <c r="AY19" s="835"/>
      <c r="AZ19" s="835"/>
      <c r="BA19" s="835"/>
      <c r="BB19" s="835"/>
      <c r="BC19" s="835"/>
      <c r="BD19" s="835"/>
      <c r="BE19" s="835"/>
      <c r="BF19" s="835"/>
      <c r="BG19" s="835"/>
      <c r="BH19" s="835"/>
      <c r="BI19" s="835"/>
      <c r="BJ19" s="835"/>
      <c r="BK19" s="835"/>
      <c r="BL19" s="835"/>
      <c r="BM19" s="835"/>
      <c r="BN19" s="835"/>
      <c r="BO19" s="835"/>
      <c r="BP19" s="835"/>
      <c r="BQ19" s="835"/>
      <c r="BR19" s="835"/>
      <c r="BS19" s="835"/>
      <c r="BT19" s="835"/>
      <c r="BU19" s="835"/>
      <c r="BV19" s="835"/>
      <c r="BW19" s="835"/>
      <c r="BX19" s="835"/>
      <c r="BY19" s="835"/>
      <c r="BZ19" s="835"/>
      <c r="CA19" s="835"/>
      <c r="CB19" s="835"/>
      <c r="CC19" s="835"/>
      <c r="CD19" s="835"/>
      <c r="CE19" s="835"/>
      <c r="CF19" s="835"/>
      <c r="CG19" s="835"/>
      <c r="CH19" s="835"/>
      <c r="CI19" s="835"/>
      <c r="CJ19" s="835"/>
      <c r="CK19" s="835"/>
      <c r="CL19" s="835"/>
      <c r="CM19" s="835"/>
      <c r="CN19" s="793" t="s">
        <v>262</v>
      </c>
      <c r="CO19" s="793"/>
      <c r="CP19" s="793"/>
      <c r="CQ19" s="793"/>
      <c r="CR19" s="793"/>
      <c r="CS19" s="793"/>
      <c r="CT19" s="793"/>
      <c r="CU19" s="793"/>
      <c r="CV19" s="73" t="s">
        <v>32</v>
      </c>
      <c r="CW19" s="73" t="s">
        <v>32</v>
      </c>
      <c r="CX19" s="108">
        <v>0</v>
      </c>
      <c r="CY19" s="108">
        <v>0</v>
      </c>
      <c r="CZ19" s="108">
        <v>0</v>
      </c>
      <c r="DA19" s="108">
        <v>0</v>
      </c>
    </row>
    <row r="20" spans="1:105" ht="15">
      <c r="A20" s="793"/>
      <c r="B20" s="793"/>
      <c r="C20" s="793"/>
      <c r="D20" s="793"/>
      <c r="E20" s="793"/>
      <c r="F20" s="793"/>
      <c r="G20" s="793"/>
      <c r="H20" s="793"/>
      <c r="I20" s="834" t="s">
        <v>393</v>
      </c>
      <c r="J20" s="835"/>
      <c r="K20" s="835"/>
      <c r="L20" s="835"/>
      <c r="M20" s="835"/>
      <c r="N20" s="835"/>
      <c r="O20" s="835"/>
      <c r="P20" s="835"/>
      <c r="Q20" s="835"/>
      <c r="R20" s="835"/>
      <c r="S20" s="835"/>
      <c r="T20" s="835"/>
      <c r="U20" s="835"/>
      <c r="V20" s="835"/>
      <c r="W20" s="835"/>
      <c r="X20" s="835"/>
      <c r="Y20" s="835"/>
      <c r="Z20" s="835"/>
      <c r="AA20" s="835"/>
      <c r="AB20" s="835"/>
      <c r="AC20" s="835"/>
      <c r="AD20" s="835"/>
      <c r="AE20" s="835"/>
      <c r="AF20" s="835"/>
      <c r="AG20" s="835"/>
      <c r="AH20" s="835"/>
      <c r="AI20" s="835"/>
      <c r="AJ20" s="835"/>
      <c r="AK20" s="835"/>
      <c r="AL20" s="835"/>
      <c r="AM20" s="835"/>
      <c r="AN20" s="835"/>
      <c r="AO20" s="835"/>
      <c r="AP20" s="835"/>
      <c r="AQ20" s="835"/>
      <c r="AR20" s="835"/>
      <c r="AS20" s="835"/>
      <c r="AT20" s="835"/>
      <c r="AU20" s="835"/>
      <c r="AV20" s="835"/>
      <c r="AW20" s="835"/>
      <c r="AX20" s="835"/>
      <c r="AY20" s="835"/>
      <c r="AZ20" s="835"/>
      <c r="BA20" s="835"/>
      <c r="BB20" s="835"/>
      <c r="BC20" s="835"/>
      <c r="BD20" s="835"/>
      <c r="BE20" s="835"/>
      <c r="BF20" s="835"/>
      <c r="BG20" s="835"/>
      <c r="BH20" s="835"/>
      <c r="BI20" s="835"/>
      <c r="BJ20" s="835"/>
      <c r="BK20" s="835"/>
      <c r="BL20" s="835"/>
      <c r="BM20" s="835"/>
      <c r="BN20" s="835"/>
      <c r="BO20" s="835"/>
      <c r="BP20" s="835"/>
      <c r="BQ20" s="835"/>
      <c r="BR20" s="835"/>
      <c r="BS20" s="835"/>
      <c r="BT20" s="835"/>
      <c r="BU20" s="835"/>
      <c r="BV20" s="835"/>
      <c r="BW20" s="835"/>
      <c r="BX20" s="835"/>
      <c r="BY20" s="835"/>
      <c r="BZ20" s="835"/>
      <c r="CA20" s="835"/>
      <c r="CB20" s="835"/>
      <c r="CC20" s="835"/>
      <c r="CD20" s="835"/>
      <c r="CE20" s="835"/>
      <c r="CF20" s="835"/>
      <c r="CG20" s="835"/>
      <c r="CH20" s="835"/>
      <c r="CI20" s="835"/>
      <c r="CJ20" s="835"/>
      <c r="CK20" s="835"/>
      <c r="CL20" s="835"/>
      <c r="CM20" s="835"/>
      <c r="CN20" s="793" t="s">
        <v>403</v>
      </c>
      <c r="CO20" s="793"/>
      <c r="CP20" s="793"/>
      <c r="CQ20" s="793"/>
      <c r="CR20" s="793"/>
      <c r="CS20" s="793"/>
      <c r="CT20" s="793"/>
      <c r="CU20" s="793"/>
      <c r="CV20" s="73" t="s">
        <v>32</v>
      </c>
      <c r="CW20" s="73" t="s">
        <v>32</v>
      </c>
      <c r="CX20" s="108">
        <v>0</v>
      </c>
      <c r="CY20" s="108">
        <v>0</v>
      </c>
      <c r="CZ20" s="108">
        <v>0</v>
      </c>
      <c r="DA20" s="108">
        <v>0</v>
      </c>
    </row>
    <row r="21" spans="1:105" ht="15">
      <c r="A21" s="793" t="s">
        <v>263</v>
      </c>
      <c r="B21" s="793"/>
      <c r="C21" s="793"/>
      <c r="D21" s="793"/>
      <c r="E21" s="793"/>
      <c r="F21" s="793"/>
      <c r="G21" s="793"/>
      <c r="H21" s="793"/>
      <c r="I21" s="834" t="s">
        <v>404</v>
      </c>
      <c r="J21" s="835"/>
      <c r="K21" s="835"/>
      <c r="L21" s="835"/>
      <c r="M21" s="835"/>
      <c r="N21" s="835"/>
      <c r="O21" s="835"/>
      <c r="P21" s="835"/>
      <c r="Q21" s="835"/>
      <c r="R21" s="835"/>
      <c r="S21" s="835"/>
      <c r="T21" s="835"/>
      <c r="U21" s="835"/>
      <c r="V21" s="835"/>
      <c r="W21" s="835"/>
      <c r="X21" s="835"/>
      <c r="Y21" s="835"/>
      <c r="Z21" s="835"/>
      <c r="AA21" s="835"/>
      <c r="AB21" s="835"/>
      <c r="AC21" s="835"/>
      <c r="AD21" s="835"/>
      <c r="AE21" s="835"/>
      <c r="AF21" s="835"/>
      <c r="AG21" s="835"/>
      <c r="AH21" s="835"/>
      <c r="AI21" s="835"/>
      <c r="AJ21" s="835"/>
      <c r="AK21" s="835"/>
      <c r="AL21" s="835"/>
      <c r="AM21" s="835"/>
      <c r="AN21" s="835"/>
      <c r="AO21" s="835"/>
      <c r="AP21" s="835"/>
      <c r="AQ21" s="835"/>
      <c r="AR21" s="835"/>
      <c r="AS21" s="835"/>
      <c r="AT21" s="835"/>
      <c r="AU21" s="835"/>
      <c r="AV21" s="835"/>
      <c r="AW21" s="835"/>
      <c r="AX21" s="835"/>
      <c r="AY21" s="835"/>
      <c r="AZ21" s="835"/>
      <c r="BA21" s="835"/>
      <c r="BB21" s="835"/>
      <c r="BC21" s="835"/>
      <c r="BD21" s="835"/>
      <c r="BE21" s="835"/>
      <c r="BF21" s="835"/>
      <c r="BG21" s="835"/>
      <c r="BH21" s="835"/>
      <c r="BI21" s="835"/>
      <c r="BJ21" s="835"/>
      <c r="BK21" s="835"/>
      <c r="BL21" s="835"/>
      <c r="BM21" s="835"/>
      <c r="BN21" s="835"/>
      <c r="BO21" s="835"/>
      <c r="BP21" s="835"/>
      <c r="BQ21" s="835"/>
      <c r="BR21" s="835"/>
      <c r="BS21" s="835"/>
      <c r="BT21" s="835"/>
      <c r="BU21" s="835"/>
      <c r="BV21" s="835"/>
      <c r="BW21" s="835"/>
      <c r="BX21" s="835"/>
      <c r="BY21" s="835"/>
      <c r="BZ21" s="835"/>
      <c r="CA21" s="835"/>
      <c r="CB21" s="835"/>
      <c r="CC21" s="835"/>
      <c r="CD21" s="835"/>
      <c r="CE21" s="835"/>
      <c r="CF21" s="835"/>
      <c r="CG21" s="835"/>
      <c r="CH21" s="835"/>
      <c r="CI21" s="835"/>
      <c r="CJ21" s="835"/>
      <c r="CK21" s="835"/>
      <c r="CL21" s="835"/>
      <c r="CM21" s="835"/>
      <c r="CN21" s="793" t="s">
        <v>264</v>
      </c>
      <c r="CO21" s="793"/>
      <c r="CP21" s="793"/>
      <c r="CQ21" s="793"/>
      <c r="CR21" s="793"/>
      <c r="CS21" s="793"/>
      <c r="CT21" s="793"/>
      <c r="CU21" s="793"/>
      <c r="CV21" s="73" t="s">
        <v>235</v>
      </c>
      <c r="CW21" s="73" t="s">
        <v>32</v>
      </c>
      <c r="CX21" s="108">
        <f>238012.89+863871.49</f>
        <v>1101884.3799999999</v>
      </c>
      <c r="CY21" s="108">
        <v>0</v>
      </c>
      <c r="CZ21" s="108">
        <v>0</v>
      </c>
      <c r="DA21" s="108">
        <v>0</v>
      </c>
    </row>
    <row r="22" spans="1:105" ht="24" customHeight="1">
      <c r="A22" s="793" t="s">
        <v>265</v>
      </c>
      <c r="B22" s="793"/>
      <c r="C22" s="793"/>
      <c r="D22" s="793"/>
      <c r="E22" s="793"/>
      <c r="F22" s="793"/>
      <c r="G22" s="793"/>
      <c r="H22" s="793"/>
      <c r="I22" s="834" t="s">
        <v>405</v>
      </c>
      <c r="J22" s="835"/>
      <c r="K22" s="835"/>
      <c r="L22" s="835"/>
      <c r="M22" s="835"/>
      <c r="N22" s="835"/>
      <c r="O22" s="835"/>
      <c r="P22" s="835"/>
      <c r="Q22" s="835"/>
      <c r="R22" s="835"/>
      <c r="S22" s="835"/>
      <c r="T22" s="835"/>
      <c r="U22" s="835"/>
      <c r="V22" s="835"/>
      <c r="W22" s="835"/>
      <c r="X22" s="835"/>
      <c r="Y22" s="835"/>
      <c r="Z22" s="835"/>
      <c r="AA22" s="835"/>
      <c r="AB22" s="835"/>
      <c r="AC22" s="835"/>
      <c r="AD22" s="835"/>
      <c r="AE22" s="835"/>
      <c r="AF22" s="835"/>
      <c r="AG22" s="835"/>
      <c r="AH22" s="835"/>
      <c r="AI22" s="835"/>
      <c r="AJ22" s="835"/>
      <c r="AK22" s="835"/>
      <c r="AL22" s="835"/>
      <c r="AM22" s="835"/>
      <c r="AN22" s="835"/>
      <c r="AO22" s="835"/>
      <c r="AP22" s="835"/>
      <c r="AQ22" s="835"/>
      <c r="AR22" s="835"/>
      <c r="AS22" s="835"/>
      <c r="AT22" s="835"/>
      <c r="AU22" s="835"/>
      <c r="AV22" s="835"/>
      <c r="AW22" s="835"/>
      <c r="AX22" s="835"/>
      <c r="AY22" s="835"/>
      <c r="AZ22" s="835"/>
      <c r="BA22" s="835"/>
      <c r="BB22" s="835"/>
      <c r="BC22" s="835"/>
      <c r="BD22" s="835"/>
      <c r="BE22" s="835"/>
      <c r="BF22" s="835"/>
      <c r="BG22" s="835"/>
      <c r="BH22" s="835"/>
      <c r="BI22" s="835"/>
      <c r="BJ22" s="835"/>
      <c r="BK22" s="835"/>
      <c r="BL22" s="835"/>
      <c r="BM22" s="835"/>
      <c r="BN22" s="835"/>
      <c r="BO22" s="835"/>
      <c r="BP22" s="835"/>
      <c r="BQ22" s="835"/>
      <c r="BR22" s="835"/>
      <c r="BS22" s="835"/>
      <c r="BT22" s="835"/>
      <c r="BU22" s="835"/>
      <c r="BV22" s="835"/>
      <c r="BW22" s="835"/>
      <c r="BX22" s="835"/>
      <c r="BY22" s="835"/>
      <c r="BZ22" s="835"/>
      <c r="CA22" s="835"/>
      <c r="CB22" s="835"/>
      <c r="CC22" s="835"/>
      <c r="CD22" s="835"/>
      <c r="CE22" s="835"/>
      <c r="CF22" s="835"/>
      <c r="CG22" s="835"/>
      <c r="CH22" s="835"/>
      <c r="CI22" s="835"/>
      <c r="CJ22" s="835"/>
      <c r="CK22" s="835"/>
      <c r="CL22" s="835"/>
      <c r="CM22" s="835"/>
      <c r="CN22" s="837" t="s">
        <v>267</v>
      </c>
      <c r="CO22" s="837"/>
      <c r="CP22" s="837"/>
      <c r="CQ22" s="837"/>
      <c r="CR22" s="837"/>
      <c r="CS22" s="837"/>
      <c r="CT22" s="837"/>
      <c r="CU22" s="837"/>
      <c r="CV22" s="73" t="s">
        <v>32</v>
      </c>
      <c r="CW22" s="73" t="s">
        <v>32</v>
      </c>
      <c r="CX22" s="108">
        <v>0</v>
      </c>
      <c r="CY22" s="108">
        <v>0</v>
      </c>
      <c r="CZ22" s="108">
        <v>0</v>
      </c>
      <c r="DA22" s="108">
        <v>0</v>
      </c>
    </row>
    <row r="23" spans="1:105" ht="15">
      <c r="A23" s="793"/>
      <c r="B23" s="793"/>
      <c r="C23" s="793"/>
      <c r="D23" s="793"/>
      <c r="E23" s="793"/>
      <c r="F23" s="793"/>
      <c r="G23" s="793"/>
      <c r="H23" s="793"/>
      <c r="I23" s="834" t="s">
        <v>393</v>
      </c>
      <c r="J23" s="835"/>
      <c r="K23" s="835"/>
      <c r="L23" s="835"/>
      <c r="M23" s="835"/>
      <c r="N23" s="835"/>
      <c r="O23" s="835"/>
      <c r="P23" s="835"/>
      <c r="Q23" s="835"/>
      <c r="R23" s="835"/>
      <c r="S23" s="835"/>
      <c r="T23" s="835"/>
      <c r="U23" s="835"/>
      <c r="V23" s="835"/>
      <c r="W23" s="835"/>
      <c r="X23" s="835"/>
      <c r="Y23" s="835"/>
      <c r="Z23" s="835"/>
      <c r="AA23" s="835"/>
      <c r="AB23" s="835"/>
      <c r="AC23" s="835"/>
      <c r="AD23" s="835"/>
      <c r="AE23" s="835"/>
      <c r="AF23" s="835"/>
      <c r="AG23" s="835"/>
      <c r="AH23" s="835"/>
      <c r="AI23" s="835"/>
      <c r="AJ23" s="835"/>
      <c r="AK23" s="835"/>
      <c r="AL23" s="835"/>
      <c r="AM23" s="835"/>
      <c r="AN23" s="835"/>
      <c r="AO23" s="835"/>
      <c r="AP23" s="835"/>
      <c r="AQ23" s="835"/>
      <c r="AR23" s="835"/>
      <c r="AS23" s="835"/>
      <c r="AT23" s="835"/>
      <c r="AU23" s="835"/>
      <c r="AV23" s="835"/>
      <c r="AW23" s="835"/>
      <c r="AX23" s="835"/>
      <c r="AY23" s="835"/>
      <c r="AZ23" s="835"/>
      <c r="BA23" s="835"/>
      <c r="BB23" s="835"/>
      <c r="BC23" s="835"/>
      <c r="BD23" s="835"/>
      <c r="BE23" s="835"/>
      <c r="BF23" s="835"/>
      <c r="BG23" s="835"/>
      <c r="BH23" s="835"/>
      <c r="BI23" s="835"/>
      <c r="BJ23" s="835"/>
      <c r="BK23" s="835"/>
      <c r="BL23" s="835"/>
      <c r="BM23" s="835"/>
      <c r="BN23" s="835"/>
      <c r="BO23" s="835"/>
      <c r="BP23" s="835"/>
      <c r="BQ23" s="835"/>
      <c r="BR23" s="835"/>
      <c r="BS23" s="835"/>
      <c r="BT23" s="835"/>
      <c r="BU23" s="835"/>
      <c r="BV23" s="835"/>
      <c r="BW23" s="835"/>
      <c r="BX23" s="835"/>
      <c r="BY23" s="835"/>
      <c r="BZ23" s="835"/>
      <c r="CA23" s="835"/>
      <c r="CB23" s="835"/>
      <c r="CC23" s="835"/>
      <c r="CD23" s="835"/>
      <c r="CE23" s="835"/>
      <c r="CF23" s="835"/>
      <c r="CG23" s="835"/>
      <c r="CH23" s="835"/>
      <c r="CI23" s="835"/>
      <c r="CJ23" s="835"/>
      <c r="CK23" s="835"/>
      <c r="CL23" s="835"/>
      <c r="CM23" s="835"/>
      <c r="CN23" s="793" t="s">
        <v>406</v>
      </c>
      <c r="CO23" s="793"/>
      <c r="CP23" s="793"/>
      <c r="CQ23" s="793"/>
      <c r="CR23" s="793"/>
      <c r="CS23" s="793"/>
      <c r="CT23" s="793"/>
      <c r="CU23" s="793"/>
      <c r="CV23" s="73" t="s">
        <v>32</v>
      </c>
      <c r="CW23" s="73" t="s">
        <v>32</v>
      </c>
      <c r="CX23" s="108">
        <v>0</v>
      </c>
      <c r="CY23" s="108">
        <v>0</v>
      </c>
      <c r="CZ23" s="108">
        <v>0</v>
      </c>
      <c r="DA23" s="108">
        <v>0</v>
      </c>
    </row>
    <row r="24" spans="1:105" ht="24" customHeight="1">
      <c r="A24" s="793" t="s">
        <v>268</v>
      </c>
      <c r="B24" s="793"/>
      <c r="C24" s="793"/>
      <c r="D24" s="793"/>
      <c r="E24" s="793"/>
      <c r="F24" s="793"/>
      <c r="G24" s="793"/>
      <c r="H24" s="793"/>
      <c r="I24" s="834" t="s">
        <v>407</v>
      </c>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5"/>
      <c r="AZ24" s="835"/>
      <c r="BA24" s="835"/>
      <c r="BB24" s="835"/>
      <c r="BC24" s="835"/>
      <c r="BD24" s="835"/>
      <c r="BE24" s="835"/>
      <c r="BF24" s="835"/>
      <c r="BG24" s="835"/>
      <c r="BH24" s="835"/>
      <c r="BI24" s="835"/>
      <c r="BJ24" s="835"/>
      <c r="BK24" s="835"/>
      <c r="BL24" s="835"/>
      <c r="BM24" s="835"/>
      <c r="BN24" s="835"/>
      <c r="BO24" s="835"/>
      <c r="BP24" s="835"/>
      <c r="BQ24" s="835"/>
      <c r="BR24" s="835"/>
      <c r="BS24" s="835"/>
      <c r="BT24" s="835"/>
      <c r="BU24" s="835"/>
      <c r="BV24" s="835"/>
      <c r="BW24" s="835"/>
      <c r="BX24" s="835"/>
      <c r="BY24" s="835"/>
      <c r="BZ24" s="835"/>
      <c r="CA24" s="835"/>
      <c r="CB24" s="835"/>
      <c r="CC24" s="835"/>
      <c r="CD24" s="835"/>
      <c r="CE24" s="835"/>
      <c r="CF24" s="835"/>
      <c r="CG24" s="835"/>
      <c r="CH24" s="835"/>
      <c r="CI24" s="835"/>
      <c r="CJ24" s="835"/>
      <c r="CK24" s="835"/>
      <c r="CL24" s="835"/>
      <c r="CM24" s="835"/>
      <c r="CN24" s="837" t="s">
        <v>408</v>
      </c>
      <c r="CO24" s="837"/>
      <c r="CP24" s="837"/>
      <c r="CQ24" s="837"/>
      <c r="CR24" s="837"/>
      <c r="CS24" s="837"/>
      <c r="CT24" s="837"/>
      <c r="CU24" s="837"/>
      <c r="CV24" s="73" t="s">
        <v>32</v>
      </c>
      <c r="CW24" s="73" t="s">
        <v>32</v>
      </c>
      <c r="CX24" s="108">
        <v>0</v>
      </c>
      <c r="CY24" s="108">
        <v>0</v>
      </c>
      <c r="CZ24" s="108">
        <v>0</v>
      </c>
      <c r="DA24" s="108">
        <v>0</v>
      </c>
    </row>
    <row r="25" spans="1:105" ht="24" customHeight="1">
      <c r="A25" s="793" t="s">
        <v>271</v>
      </c>
      <c r="B25" s="793"/>
      <c r="C25" s="793"/>
      <c r="D25" s="793"/>
      <c r="E25" s="793"/>
      <c r="F25" s="793"/>
      <c r="G25" s="793"/>
      <c r="H25" s="793"/>
      <c r="I25" s="834" t="s">
        <v>409</v>
      </c>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835"/>
      <c r="BK25" s="835"/>
      <c r="BL25" s="835"/>
      <c r="BM25" s="835"/>
      <c r="BN25" s="835"/>
      <c r="BO25" s="835"/>
      <c r="BP25" s="835"/>
      <c r="BQ25" s="835"/>
      <c r="BR25" s="835"/>
      <c r="BS25" s="835"/>
      <c r="BT25" s="835"/>
      <c r="BU25" s="835"/>
      <c r="BV25" s="835"/>
      <c r="BW25" s="835"/>
      <c r="BX25" s="835"/>
      <c r="BY25" s="835"/>
      <c r="BZ25" s="835"/>
      <c r="CA25" s="835"/>
      <c r="CB25" s="835"/>
      <c r="CC25" s="835"/>
      <c r="CD25" s="835"/>
      <c r="CE25" s="835"/>
      <c r="CF25" s="835"/>
      <c r="CG25" s="835"/>
      <c r="CH25" s="835"/>
      <c r="CI25" s="835"/>
      <c r="CJ25" s="835"/>
      <c r="CK25" s="835"/>
      <c r="CL25" s="835"/>
      <c r="CM25" s="835"/>
      <c r="CN25" s="793" t="s">
        <v>410</v>
      </c>
      <c r="CO25" s="793"/>
      <c r="CP25" s="793"/>
      <c r="CQ25" s="793"/>
      <c r="CR25" s="793"/>
      <c r="CS25" s="793"/>
      <c r="CT25" s="793"/>
      <c r="CU25" s="793"/>
      <c r="CV25" s="73" t="s">
        <v>32</v>
      </c>
      <c r="CW25" s="73" t="s">
        <v>32</v>
      </c>
      <c r="CX25" s="108">
        <v>0</v>
      </c>
      <c r="CY25" s="108">
        <v>0</v>
      </c>
      <c r="CZ25" s="108">
        <v>0</v>
      </c>
      <c r="DA25" s="108">
        <v>0</v>
      </c>
    </row>
    <row r="26" spans="1:105" ht="24" customHeight="1">
      <c r="A26" s="793" t="s">
        <v>273</v>
      </c>
      <c r="B26" s="793"/>
      <c r="C26" s="793"/>
      <c r="D26" s="793"/>
      <c r="E26" s="793"/>
      <c r="F26" s="793"/>
      <c r="G26" s="793"/>
      <c r="H26" s="793"/>
      <c r="I26" s="834" t="s">
        <v>411</v>
      </c>
      <c r="J26" s="835"/>
      <c r="K26" s="835"/>
      <c r="L26" s="835"/>
      <c r="M26" s="835"/>
      <c r="N26" s="835"/>
      <c r="O26" s="835"/>
      <c r="P26" s="835"/>
      <c r="Q26" s="835"/>
      <c r="R26" s="835"/>
      <c r="S26" s="835"/>
      <c r="T26" s="835"/>
      <c r="U26" s="835"/>
      <c r="V26" s="835"/>
      <c r="W26" s="835"/>
      <c r="X26" s="835"/>
      <c r="Y26" s="835"/>
      <c r="Z26" s="835"/>
      <c r="AA26" s="835"/>
      <c r="AB26" s="835"/>
      <c r="AC26" s="835"/>
      <c r="AD26" s="835"/>
      <c r="AE26" s="835"/>
      <c r="AF26" s="835"/>
      <c r="AG26" s="835"/>
      <c r="AH26" s="835"/>
      <c r="AI26" s="835"/>
      <c r="AJ26" s="835"/>
      <c r="AK26" s="835"/>
      <c r="AL26" s="835"/>
      <c r="AM26" s="835"/>
      <c r="AN26" s="835"/>
      <c r="AO26" s="835"/>
      <c r="AP26" s="835"/>
      <c r="AQ26" s="835"/>
      <c r="AR26" s="835"/>
      <c r="AS26" s="835"/>
      <c r="AT26" s="835"/>
      <c r="AU26" s="835"/>
      <c r="AV26" s="835"/>
      <c r="AW26" s="835"/>
      <c r="AX26" s="835"/>
      <c r="AY26" s="835"/>
      <c r="AZ26" s="835"/>
      <c r="BA26" s="835"/>
      <c r="BB26" s="835"/>
      <c r="BC26" s="835"/>
      <c r="BD26" s="835"/>
      <c r="BE26" s="835"/>
      <c r="BF26" s="835"/>
      <c r="BG26" s="835"/>
      <c r="BH26" s="835"/>
      <c r="BI26" s="835"/>
      <c r="BJ26" s="835"/>
      <c r="BK26" s="835"/>
      <c r="BL26" s="835"/>
      <c r="BM26" s="835"/>
      <c r="BN26" s="835"/>
      <c r="BO26" s="835"/>
      <c r="BP26" s="835"/>
      <c r="BQ26" s="835"/>
      <c r="BR26" s="835"/>
      <c r="BS26" s="835"/>
      <c r="BT26" s="835"/>
      <c r="BU26" s="835"/>
      <c r="BV26" s="835"/>
      <c r="BW26" s="835"/>
      <c r="BX26" s="835"/>
      <c r="BY26" s="835"/>
      <c r="BZ26" s="835"/>
      <c r="CA26" s="835"/>
      <c r="CB26" s="835"/>
      <c r="CC26" s="835"/>
      <c r="CD26" s="835"/>
      <c r="CE26" s="835"/>
      <c r="CF26" s="835"/>
      <c r="CG26" s="835"/>
      <c r="CH26" s="835"/>
      <c r="CI26" s="835"/>
      <c r="CJ26" s="835"/>
      <c r="CK26" s="835"/>
      <c r="CL26" s="835"/>
      <c r="CM26" s="835"/>
      <c r="CN26" s="793" t="s">
        <v>412</v>
      </c>
      <c r="CO26" s="793"/>
      <c r="CP26" s="793"/>
      <c r="CQ26" s="793"/>
      <c r="CR26" s="793"/>
      <c r="CS26" s="793"/>
      <c r="CT26" s="793"/>
      <c r="CU26" s="793"/>
      <c r="CV26" s="73" t="s">
        <v>32</v>
      </c>
      <c r="CW26" s="73" t="s">
        <v>32</v>
      </c>
      <c r="CX26" s="108">
        <v>0</v>
      </c>
      <c r="CY26" s="108">
        <v>0</v>
      </c>
      <c r="CZ26" s="108">
        <v>0</v>
      </c>
      <c r="DA26" s="108">
        <v>0</v>
      </c>
    </row>
    <row r="27" spans="1:105" ht="24" customHeight="1">
      <c r="A27" s="793" t="s">
        <v>413</v>
      </c>
      <c r="B27" s="793"/>
      <c r="C27" s="793"/>
      <c r="D27" s="793"/>
      <c r="E27" s="793"/>
      <c r="F27" s="793"/>
      <c r="G27" s="793"/>
      <c r="H27" s="793"/>
      <c r="I27" s="834" t="s">
        <v>269</v>
      </c>
      <c r="J27" s="835"/>
      <c r="K27" s="835"/>
      <c r="L27" s="835"/>
      <c r="M27" s="835"/>
      <c r="N27" s="835"/>
      <c r="O27" s="835"/>
      <c r="P27" s="835"/>
      <c r="Q27" s="835"/>
      <c r="R27" s="835"/>
      <c r="S27" s="835"/>
      <c r="T27" s="835"/>
      <c r="U27" s="835"/>
      <c r="V27" s="835"/>
      <c r="W27" s="835"/>
      <c r="X27" s="835"/>
      <c r="Y27" s="835"/>
      <c r="Z27" s="835"/>
      <c r="AA27" s="835"/>
      <c r="AB27" s="835"/>
      <c r="AC27" s="835"/>
      <c r="AD27" s="835"/>
      <c r="AE27" s="835"/>
      <c r="AF27" s="835"/>
      <c r="AG27" s="835"/>
      <c r="AH27" s="835"/>
      <c r="AI27" s="835"/>
      <c r="AJ27" s="835"/>
      <c r="AK27" s="835"/>
      <c r="AL27" s="835"/>
      <c r="AM27" s="835"/>
      <c r="AN27" s="835"/>
      <c r="AO27" s="835"/>
      <c r="AP27" s="835"/>
      <c r="AQ27" s="835"/>
      <c r="AR27" s="835"/>
      <c r="AS27" s="835"/>
      <c r="AT27" s="835"/>
      <c r="AU27" s="835"/>
      <c r="AV27" s="835"/>
      <c r="AW27" s="835"/>
      <c r="AX27" s="835"/>
      <c r="AY27" s="835"/>
      <c r="AZ27" s="835"/>
      <c r="BA27" s="835"/>
      <c r="BB27" s="835"/>
      <c r="BC27" s="835"/>
      <c r="BD27" s="835"/>
      <c r="BE27" s="835"/>
      <c r="BF27" s="835"/>
      <c r="BG27" s="835"/>
      <c r="BH27" s="835"/>
      <c r="BI27" s="835"/>
      <c r="BJ27" s="835"/>
      <c r="BK27" s="835"/>
      <c r="BL27" s="835"/>
      <c r="BM27" s="835"/>
      <c r="BN27" s="835"/>
      <c r="BO27" s="835"/>
      <c r="BP27" s="835"/>
      <c r="BQ27" s="835"/>
      <c r="BR27" s="835"/>
      <c r="BS27" s="835"/>
      <c r="BT27" s="835"/>
      <c r="BU27" s="835"/>
      <c r="BV27" s="835"/>
      <c r="BW27" s="835"/>
      <c r="BX27" s="835"/>
      <c r="BY27" s="835"/>
      <c r="BZ27" s="835"/>
      <c r="CA27" s="835"/>
      <c r="CB27" s="835"/>
      <c r="CC27" s="835"/>
      <c r="CD27" s="835"/>
      <c r="CE27" s="835"/>
      <c r="CF27" s="835"/>
      <c r="CG27" s="835"/>
      <c r="CH27" s="835"/>
      <c r="CI27" s="835"/>
      <c r="CJ27" s="835"/>
      <c r="CK27" s="835"/>
      <c r="CL27" s="835"/>
      <c r="CM27" s="835"/>
      <c r="CN27" s="793" t="s">
        <v>270</v>
      </c>
      <c r="CO27" s="793"/>
      <c r="CP27" s="793"/>
      <c r="CQ27" s="793"/>
      <c r="CR27" s="793"/>
      <c r="CS27" s="793"/>
      <c r="CT27" s="793"/>
      <c r="CU27" s="793"/>
      <c r="CV27" s="73" t="s">
        <v>235</v>
      </c>
      <c r="CW27" s="73" t="s">
        <v>32</v>
      </c>
      <c r="CX27" s="108">
        <f>CX30</f>
        <v>5481292.9800000004</v>
      </c>
      <c r="CY27" s="108">
        <v>5059979.82</v>
      </c>
      <c r="CZ27" s="108">
        <v>4781922.4400000004</v>
      </c>
      <c r="DA27" s="108">
        <v>0</v>
      </c>
    </row>
    <row r="28" spans="1:105" ht="24" customHeight="1">
      <c r="A28" s="793" t="s">
        <v>414</v>
      </c>
      <c r="B28" s="793"/>
      <c r="C28" s="793"/>
      <c r="D28" s="793"/>
      <c r="E28" s="793"/>
      <c r="F28" s="793"/>
      <c r="G28" s="793"/>
      <c r="H28" s="793"/>
      <c r="I28" s="834" t="s">
        <v>415</v>
      </c>
      <c r="J28" s="835"/>
      <c r="K28" s="835"/>
      <c r="L28" s="835"/>
      <c r="M28" s="835"/>
      <c r="N28" s="835"/>
      <c r="O28" s="835"/>
      <c r="P28" s="835"/>
      <c r="Q28" s="835"/>
      <c r="R28" s="835"/>
      <c r="S28" s="835"/>
      <c r="T28" s="835"/>
      <c r="U28" s="835"/>
      <c r="V28" s="835"/>
      <c r="W28" s="835"/>
      <c r="X28" s="835"/>
      <c r="Y28" s="835"/>
      <c r="Z28" s="835"/>
      <c r="AA28" s="835"/>
      <c r="AB28" s="835"/>
      <c r="AC28" s="835"/>
      <c r="AD28" s="835"/>
      <c r="AE28" s="835"/>
      <c r="AF28" s="835"/>
      <c r="AG28" s="835"/>
      <c r="AH28" s="835"/>
      <c r="AI28" s="835"/>
      <c r="AJ28" s="835"/>
      <c r="AK28" s="835"/>
      <c r="AL28" s="835"/>
      <c r="AM28" s="835"/>
      <c r="AN28" s="835"/>
      <c r="AO28" s="835"/>
      <c r="AP28" s="835"/>
      <c r="AQ28" s="835"/>
      <c r="AR28" s="835"/>
      <c r="AS28" s="835"/>
      <c r="AT28" s="835"/>
      <c r="AU28" s="835"/>
      <c r="AV28" s="835"/>
      <c r="AW28" s="835"/>
      <c r="AX28" s="835"/>
      <c r="AY28" s="835"/>
      <c r="AZ28" s="835"/>
      <c r="BA28" s="835"/>
      <c r="BB28" s="835"/>
      <c r="BC28" s="835"/>
      <c r="BD28" s="835"/>
      <c r="BE28" s="835"/>
      <c r="BF28" s="835"/>
      <c r="BG28" s="835"/>
      <c r="BH28" s="835"/>
      <c r="BI28" s="835"/>
      <c r="BJ28" s="835"/>
      <c r="BK28" s="835"/>
      <c r="BL28" s="835"/>
      <c r="BM28" s="835"/>
      <c r="BN28" s="835"/>
      <c r="BO28" s="835"/>
      <c r="BP28" s="835"/>
      <c r="BQ28" s="835"/>
      <c r="BR28" s="835"/>
      <c r="BS28" s="835"/>
      <c r="BT28" s="835"/>
      <c r="BU28" s="835"/>
      <c r="BV28" s="835"/>
      <c r="BW28" s="835"/>
      <c r="BX28" s="835"/>
      <c r="BY28" s="835"/>
      <c r="BZ28" s="835"/>
      <c r="CA28" s="835"/>
      <c r="CB28" s="835"/>
      <c r="CC28" s="835"/>
      <c r="CD28" s="835"/>
      <c r="CE28" s="835"/>
      <c r="CF28" s="835"/>
      <c r="CG28" s="835"/>
      <c r="CH28" s="835"/>
      <c r="CI28" s="835"/>
      <c r="CJ28" s="835"/>
      <c r="CK28" s="835"/>
      <c r="CL28" s="835"/>
      <c r="CM28" s="835"/>
      <c r="CN28" s="793" t="s">
        <v>272</v>
      </c>
      <c r="CO28" s="793"/>
      <c r="CP28" s="793"/>
      <c r="CQ28" s="793"/>
      <c r="CR28" s="793"/>
      <c r="CS28" s="793"/>
      <c r="CT28" s="793"/>
      <c r="CU28" s="793"/>
      <c r="CV28" s="73" t="s">
        <v>32</v>
      </c>
      <c r="CW28" s="73" t="s">
        <v>32</v>
      </c>
      <c r="CX28" s="108">
        <v>0</v>
      </c>
      <c r="CY28" s="108">
        <v>0</v>
      </c>
      <c r="CZ28" s="108">
        <v>0</v>
      </c>
      <c r="DA28" s="108">
        <v>0</v>
      </c>
    </row>
    <row r="29" spans="1:105" ht="15">
      <c r="A29" s="793"/>
      <c r="B29" s="793"/>
      <c r="C29" s="793"/>
      <c r="D29" s="793"/>
      <c r="E29" s="793"/>
      <c r="F29" s="793"/>
      <c r="G29" s="793"/>
      <c r="H29" s="793"/>
      <c r="I29" s="834" t="s">
        <v>393</v>
      </c>
      <c r="J29" s="835"/>
      <c r="K29" s="835"/>
      <c r="L29" s="835"/>
      <c r="M29" s="835"/>
      <c r="N29" s="835"/>
      <c r="O29" s="835"/>
      <c r="P29" s="835"/>
      <c r="Q29" s="835"/>
      <c r="R29" s="835"/>
      <c r="S29" s="835"/>
      <c r="T29" s="835"/>
      <c r="U29" s="835"/>
      <c r="V29" s="835"/>
      <c r="W29" s="835"/>
      <c r="X29" s="835"/>
      <c r="Y29" s="835"/>
      <c r="Z29" s="835"/>
      <c r="AA29" s="835"/>
      <c r="AB29" s="835"/>
      <c r="AC29" s="835"/>
      <c r="AD29" s="835"/>
      <c r="AE29" s="835"/>
      <c r="AF29" s="835"/>
      <c r="AG29" s="835"/>
      <c r="AH29" s="835"/>
      <c r="AI29" s="835"/>
      <c r="AJ29" s="835"/>
      <c r="AK29" s="835"/>
      <c r="AL29" s="835"/>
      <c r="AM29" s="835"/>
      <c r="AN29" s="835"/>
      <c r="AO29" s="835"/>
      <c r="AP29" s="835"/>
      <c r="AQ29" s="835"/>
      <c r="AR29" s="835"/>
      <c r="AS29" s="835"/>
      <c r="AT29" s="835"/>
      <c r="AU29" s="835"/>
      <c r="AV29" s="835"/>
      <c r="AW29" s="835"/>
      <c r="AX29" s="835"/>
      <c r="AY29" s="835"/>
      <c r="AZ29" s="835"/>
      <c r="BA29" s="835"/>
      <c r="BB29" s="835"/>
      <c r="BC29" s="835"/>
      <c r="BD29" s="835"/>
      <c r="BE29" s="835"/>
      <c r="BF29" s="835"/>
      <c r="BG29" s="835"/>
      <c r="BH29" s="835"/>
      <c r="BI29" s="835"/>
      <c r="BJ29" s="835"/>
      <c r="BK29" s="835"/>
      <c r="BL29" s="835"/>
      <c r="BM29" s="835"/>
      <c r="BN29" s="835"/>
      <c r="BO29" s="835"/>
      <c r="BP29" s="835"/>
      <c r="BQ29" s="835"/>
      <c r="BR29" s="835"/>
      <c r="BS29" s="835"/>
      <c r="BT29" s="835"/>
      <c r="BU29" s="835"/>
      <c r="BV29" s="835"/>
      <c r="BW29" s="835"/>
      <c r="BX29" s="835"/>
      <c r="BY29" s="835"/>
      <c r="BZ29" s="835"/>
      <c r="CA29" s="835"/>
      <c r="CB29" s="835"/>
      <c r="CC29" s="835"/>
      <c r="CD29" s="835"/>
      <c r="CE29" s="835"/>
      <c r="CF29" s="835"/>
      <c r="CG29" s="835"/>
      <c r="CH29" s="835"/>
      <c r="CI29" s="835"/>
      <c r="CJ29" s="835"/>
      <c r="CK29" s="835"/>
      <c r="CL29" s="835"/>
      <c r="CM29" s="835"/>
      <c r="CN29" s="793" t="s">
        <v>416</v>
      </c>
      <c r="CO29" s="793"/>
      <c r="CP29" s="793"/>
      <c r="CQ29" s="793"/>
      <c r="CR29" s="793"/>
      <c r="CS29" s="793"/>
      <c r="CT29" s="793"/>
      <c r="CU29" s="793"/>
      <c r="CV29" s="73" t="s">
        <v>32</v>
      </c>
      <c r="CW29" s="73" t="s">
        <v>32</v>
      </c>
      <c r="CX29" s="108">
        <v>0</v>
      </c>
      <c r="CY29" s="108">
        <v>0</v>
      </c>
      <c r="CZ29" s="108">
        <v>0</v>
      </c>
      <c r="DA29" s="108">
        <v>0</v>
      </c>
    </row>
    <row r="30" spans="1:105" ht="15">
      <c r="A30" s="793" t="s">
        <v>417</v>
      </c>
      <c r="B30" s="793"/>
      <c r="C30" s="793"/>
      <c r="D30" s="793"/>
      <c r="E30" s="793"/>
      <c r="F30" s="793"/>
      <c r="G30" s="793"/>
      <c r="H30" s="793"/>
      <c r="I30" s="834" t="s">
        <v>418</v>
      </c>
      <c r="J30" s="835"/>
      <c r="K30" s="835"/>
      <c r="L30" s="835"/>
      <c r="M30" s="835"/>
      <c r="N30" s="835"/>
      <c r="O30" s="835"/>
      <c r="P30" s="835"/>
      <c r="Q30" s="835"/>
      <c r="R30" s="835"/>
      <c r="S30" s="835"/>
      <c r="T30" s="835"/>
      <c r="U30" s="835"/>
      <c r="V30" s="835"/>
      <c r="W30" s="835"/>
      <c r="X30" s="835"/>
      <c r="Y30" s="835"/>
      <c r="Z30" s="835"/>
      <c r="AA30" s="835"/>
      <c r="AB30" s="835"/>
      <c r="AC30" s="835"/>
      <c r="AD30" s="835"/>
      <c r="AE30" s="835"/>
      <c r="AF30" s="835"/>
      <c r="AG30" s="835"/>
      <c r="AH30" s="835"/>
      <c r="AI30" s="835"/>
      <c r="AJ30" s="835"/>
      <c r="AK30" s="835"/>
      <c r="AL30" s="835"/>
      <c r="AM30" s="835"/>
      <c r="AN30" s="835"/>
      <c r="AO30" s="835"/>
      <c r="AP30" s="835"/>
      <c r="AQ30" s="835"/>
      <c r="AR30" s="835"/>
      <c r="AS30" s="835"/>
      <c r="AT30" s="835"/>
      <c r="AU30" s="835"/>
      <c r="AV30" s="835"/>
      <c r="AW30" s="835"/>
      <c r="AX30" s="835"/>
      <c r="AY30" s="835"/>
      <c r="AZ30" s="835"/>
      <c r="BA30" s="835"/>
      <c r="BB30" s="835"/>
      <c r="BC30" s="835"/>
      <c r="BD30" s="835"/>
      <c r="BE30" s="835"/>
      <c r="BF30" s="835"/>
      <c r="BG30" s="835"/>
      <c r="BH30" s="835"/>
      <c r="BI30" s="835"/>
      <c r="BJ30" s="835"/>
      <c r="BK30" s="835"/>
      <c r="BL30" s="835"/>
      <c r="BM30" s="835"/>
      <c r="BN30" s="835"/>
      <c r="BO30" s="835"/>
      <c r="BP30" s="835"/>
      <c r="BQ30" s="835"/>
      <c r="BR30" s="835"/>
      <c r="BS30" s="835"/>
      <c r="BT30" s="835"/>
      <c r="BU30" s="835"/>
      <c r="BV30" s="835"/>
      <c r="BW30" s="835"/>
      <c r="BX30" s="835"/>
      <c r="BY30" s="835"/>
      <c r="BZ30" s="835"/>
      <c r="CA30" s="835"/>
      <c r="CB30" s="835"/>
      <c r="CC30" s="835"/>
      <c r="CD30" s="835"/>
      <c r="CE30" s="835"/>
      <c r="CF30" s="835"/>
      <c r="CG30" s="835"/>
      <c r="CH30" s="835"/>
      <c r="CI30" s="835"/>
      <c r="CJ30" s="835"/>
      <c r="CK30" s="835"/>
      <c r="CL30" s="835"/>
      <c r="CM30" s="835"/>
      <c r="CN30" s="793" t="s">
        <v>274</v>
      </c>
      <c r="CO30" s="793"/>
      <c r="CP30" s="793"/>
      <c r="CQ30" s="793"/>
      <c r="CR30" s="793"/>
      <c r="CS30" s="793"/>
      <c r="CT30" s="793"/>
      <c r="CU30" s="793"/>
      <c r="CV30" s="73" t="s">
        <v>235</v>
      </c>
      <c r="CW30" s="73" t="s">
        <v>32</v>
      </c>
      <c r="CX30" s="108">
        <v>5481292.9800000004</v>
      </c>
      <c r="CY30" s="108">
        <v>5059979.82</v>
      </c>
      <c r="CZ30" s="108">
        <v>4781922.4400000004</v>
      </c>
      <c r="DA30" s="108">
        <v>0</v>
      </c>
    </row>
    <row r="31" spans="1:105" ht="41.25" customHeight="1">
      <c r="A31" s="798">
        <v>2</v>
      </c>
      <c r="B31" s="798"/>
      <c r="C31" s="798"/>
      <c r="D31" s="798"/>
      <c r="E31" s="798"/>
      <c r="F31" s="798"/>
      <c r="G31" s="798"/>
      <c r="H31" s="798"/>
      <c r="I31" s="836" t="s">
        <v>419</v>
      </c>
      <c r="J31" s="836"/>
      <c r="K31" s="836"/>
      <c r="L31" s="836"/>
      <c r="M31" s="836"/>
      <c r="N31" s="836"/>
      <c r="O31" s="836"/>
      <c r="P31" s="836"/>
      <c r="Q31" s="836"/>
      <c r="R31" s="836"/>
      <c r="S31" s="836"/>
      <c r="T31" s="836"/>
      <c r="U31" s="836"/>
      <c r="V31" s="836"/>
      <c r="W31" s="836"/>
      <c r="X31" s="836"/>
      <c r="Y31" s="836"/>
      <c r="Z31" s="836"/>
      <c r="AA31" s="836"/>
      <c r="AB31" s="836"/>
      <c r="AC31" s="836"/>
      <c r="AD31" s="836"/>
      <c r="AE31" s="836"/>
      <c r="AF31" s="836"/>
      <c r="AG31" s="836"/>
      <c r="AH31" s="836"/>
      <c r="AI31" s="836"/>
      <c r="AJ31" s="836"/>
      <c r="AK31" s="836"/>
      <c r="AL31" s="836"/>
      <c r="AM31" s="836"/>
      <c r="AN31" s="836"/>
      <c r="AO31" s="836"/>
      <c r="AP31" s="836"/>
      <c r="AQ31" s="836"/>
      <c r="AR31" s="836"/>
      <c r="AS31" s="836"/>
      <c r="AT31" s="836"/>
      <c r="AU31" s="836"/>
      <c r="AV31" s="836"/>
      <c r="AW31" s="836"/>
      <c r="AX31" s="836"/>
      <c r="AY31" s="836"/>
      <c r="AZ31" s="836"/>
      <c r="BA31" s="836"/>
      <c r="BB31" s="836"/>
      <c r="BC31" s="836"/>
      <c r="BD31" s="836"/>
      <c r="BE31" s="836"/>
      <c r="BF31" s="836"/>
      <c r="BG31" s="836"/>
      <c r="BH31" s="836"/>
      <c r="BI31" s="836"/>
      <c r="BJ31" s="836"/>
      <c r="BK31" s="836"/>
      <c r="BL31" s="836"/>
      <c r="BM31" s="836"/>
      <c r="BN31" s="836"/>
      <c r="BO31" s="836"/>
      <c r="BP31" s="836"/>
      <c r="BQ31" s="836"/>
      <c r="BR31" s="836"/>
      <c r="BS31" s="836"/>
      <c r="BT31" s="836"/>
      <c r="BU31" s="836"/>
      <c r="BV31" s="836"/>
      <c r="BW31" s="836"/>
      <c r="BX31" s="836"/>
      <c r="BY31" s="836"/>
      <c r="BZ31" s="836"/>
      <c r="CA31" s="836"/>
      <c r="CB31" s="836"/>
      <c r="CC31" s="836"/>
      <c r="CD31" s="836"/>
      <c r="CE31" s="836"/>
      <c r="CF31" s="836"/>
      <c r="CG31" s="836"/>
      <c r="CH31" s="836"/>
      <c r="CI31" s="836"/>
      <c r="CJ31" s="836"/>
      <c r="CK31" s="836"/>
      <c r="CL31" s="836"/>
      <c r="CM31" s="836"/>
      <c r="CN31" s="798" t="s">
        <v>276</v>
      </c>
      <c r="CO31" s="798"/>
      <c r="CP31" s="798"/>
      <c r="CQ31" s="798"/>
      <c r="CR31" s="798"/>
      <c r="CS31" s="798"/>
      <c r="CT31" s="798"/>
      <c r="CU31" s="798"/>
      <c r="CV31" s="73" t="s">
        <v>277</v>
      </c>
      <c r="CW31" s="73" t="s">
        <v>32</v>
      </c>
      <c r="CX31" s="108">
        <v>0</v>
      </c>
      <c r="CY31" s="108">
        <v>0</v>
      </c>
      <c r="CZ31" s="108">
        <v>0</v>
      </c>
      <c r="DA31" s="108">
        <v>0</v>
      </c>
    </row>
    <row r="32" spans="1:105" ht="24" customHeight="1">
      <c r="A32" s="793" t="s">
        <v>278</v>
      </c>
      <c r="B32" s="793"/>
      <c r="C32" s="793"/>
      <c r="D32" s="793"/>
      <c r="E32" s="793"/>
      <c r="F32" s="793"/>
      <c r="G32" s="793"/>
      <c r="H32" s="793"/>
      <c r="I32" s="834" t="s">
        <v>279</v>
      </c>
      <c r="J32" s="835"/>
      <c r="K32" s="835"/>
      <c r="L32" s="835"/>
      <c r="M32" s="835"/>
      <c r="N32" s="835"/>
      <c r="O32" s="835"/>
      <c r="P32" s="835"/>
      <c r="Q32" s="835"/>
      <c r="R32" s="835"/>
      <c r="S32" s="835"/>
      <c r="T32" s="835"/>
      <c r="U32" s="835"/>
      <c r="V32" s="835"/>
      <c r="W32" s="835"/>
      <c r="X32" s="835"/>
      <c r="Y32" s="835"/>
      <c r="Z32" s="835"/>
      <c r="AA32" s="835"/>
      <c r="AB32" s="835"/>
      <c r="AC32" s="835"/>
      <c r="AD32" s="835"/>
      <c r="AE32" s="835"/>
      <c r="AF32" s="835"/>
      <c r="AG32" s="835"/>
      <c r="AH32" s="835"/>
      <c r="AI32" s="835"/>
      <c r="AJ32" s="835"/>
      <c r="AK32" s="835"/>
      <c r="AL32" s="835"/>
      <c r="AM32" s="835"/>
      <c r="AN32" s="835"/>
      <c r="AO32" s="835"/>
      <c r="AP32" s="835"/>
      <c r="AQ32" s="835"/>
      <c r="AR32" s="835"/>
      <c r="AS32" s="835"/>
      <c r="AT32" s="835"/>
      <c r="AU32" s="835"/>
      <c r="AV32" s="835"/>
      <c r="AW32" s="835"/>
      <c r="AX32" s="835"/>
      <c r="AY32" s="835"/>
      <c r="AZ32" s="835"/>
      <c r="BA32" s="835"/>
      <c r="BB32" s="835"/>
      <c r="BC32" s="835"/>
      <c r="BD32" s="835"/>
      <c r="BE32" s="835"/>
      <c r="BF32" s="835"/>
      <c r="BG32" s="835"/>
      <c r="BH32" s="835"/>
      <c r="BI32" s="835"/>
      <c r="BJ32" s="835"/>
      <c r="BK32" s="835"/>
      <c r="BL32" s="835"/>
      <c r="BM32" s="835"/>
      <c r="BN32" s="835"/>
      <c r="BO32" s="835"/>
      <c r="BP32" s="835"/>
      <c r="BQ32" s="835"/>
      <c r="BR32" s="835"/>
      <c r="BS32" s="835"/>
      <c r="BT32" s="835"/>
      <c r="BU32" s="835"/>
      <c r="BV32" s="835"/>
      <c r="BW32" s="835"/>
      <c r="BX32" s="835"/>
      <c r="BY32" s="835"/>
      <c r="BZ32" s="835"/>
      <c r="CA32" s="835"/>
      <c r="CB32" s="835"/>
      <c r="CC32" s="835"/>
      <c r="CD32" s="835"/>
      <c r="CE32" s="835"/>
      <c r="CF32" s="835"/>
      <c r="CG32" s="835"/>
      <c r="CH32" s="835"/>
      <c r="CI32" s="835"/>
      <c r="CJ32" s="835"/>
      <c r="CK32" s="835"/>
      <c r="CL32" s="835"/>
      <c r="CM32" s="835"/>
      <c r="CN32" s="793" t="s">
        <v>280</v>
      </c>
      <c r="CO32" s="793"/>
      <c r="CP32" s="793"/>
      <c r="CQ32" s="793"/>
      <c r="CR32" s="793"/>
      <c r="CS32" s="793"/>
      <c r="CT32" s="793"/>
      <c r="CU32" s="793"/>
      <c r="CV32" s="73" t="s">
        <v>235</v>
      </c>
      <c r="CW32" s="73" t="s">
        <v>32</v>
      </c>
      <c r="CX32" s="108">
        <v>0</v>
      </c>
      <c r="CY32" s="108">
        <v>0</v>
      </c>
      <c r="CZ32" s="108">
        <v>0</v>
      </c>
      <c r="DA32" s="108">
        <v>0</v>
      </c>
    </row>
    <row r="33" spans="1:105" ht="24" customHeight="1">
      <c r="A33" s="793" t="s">
        <v>281</v>
      </c>
      <c r="B33" s="793"/>
      <c r="C33" s="793"/>
      <c r="D33" s="793"/>
      <c r="E33" s="793"/>
      <c r="F33" s="793"/>
      <c r="G33" s="793"/>
      <c r="H33" s="793"/>
      <c r="I33" s="834" t="s">
        <v>279</v>
      </c>
      <c r="J33" s="835"/>
      <c r="K33" s="835"/>
      <c r="L33" s="835"/>
      <c r="M33" s="835"/>
      <c r="N33" s="835"/>
      <c r="O33" s="835"/>
      <c r="P33" s="835"/>
      <c r="Q33" s="835"/>
      <c r="R33" s="835"/>
      <c r="S33" s="835"/>
      <c r="T33" s="835"/>
      <c r="U33" s="835"/>
      <c r="V33" s="835"/>
      <c r="W33" s="835"/>
      <c r="X33" s="835"/>
      <c r="Y33" s="835"/>
      <c r="Z33" s="835"/>
      <c r="AA33" s="835"/>
      <c r="AB33" s="835"/>
      <c r="AC33" s="835"/>
      <c r="AD33" s="835"/>
      <c r="AE33" s="835"/>
      <c r="AF33" s="835"/>
      <c r="AG33" s="835"/>
      <c r="AH33" s="835"/>
      <c r="AI33" s="835"/>
      <c r="AJ33" s="835"/>
      <c r="AK33" s="835"/>
      <c r="AL33" s="835"/>
      <c r="AM33" s="835"/>
      <c r="AN33" s="835"/>
      <c r="AO33" s="835"/>
      <c r="AP33" s="835"/>
      <c r="AQ33" s="835"/>
      <c r="AR33" s="835"/>
      <c r="AS33" s="835"/>
      <c r="AT33" s="835"/>
      <c r="AU33" s="835"/>
      <c r="AV33" s="835"/>
      <c r="AW33" s="835"/>
      <c r="AX33" s="835"/>
      <c r="AY33" s="835"/>
      <c r="AZ33" s="835"/>
      <c r="BA33" s="835"/>
      <c r="BB33" s="835"/>
      <c r="BC33" s="835"/>
      <c r="BD33" s="835"/>
      <c r="BE33" s="835"/>
      <c r="BF33" s="835"/>
      <c r="BG33" s="835"/>
      <c r="BH33" s="835"/>
      <c r="BI33" s="835"/>
      <c r="BJ33" s="835"/>
      <c r="BK33" s="835"/>
      <c r="BL33" s="835"/>
      <c r="BM33" s="835"/>
      <c r="BN33" s="835"/>
      <c r="BO33" s="835"/>
      <c r="BP33" s="835"/>
      <c r="BQ33" s="835"/>
      <c r="BR33" s="835"/>
      <c r="BS33" s="835"/>
      <c r="BT33" s="835"/>
      <c r="BU33" s="835"/>
      <c r="BV33" s="835"/>
      <c r="BW33" s="835"/>
      <c r="BX33" s="835"/>
      <c r="BY33" s="835"/>
      <c r="BZ33" s="835"/>
      <c r="CA33" s="835"/>
      <c r="CB33" s="835"/>
      <c r="CC33" s="835"/>
      <c r="CD33" s="835"/>
      <c r="CE33" s="835"/>
      <c r="CF33" s="835"/>
      <c r="CG33" s="835"/>
      <c r="CH33" s="835"/>
      <c r="CI33" s="835"/>
      <c r="CJ33" s="835"/>
      <c r="CK33" s="835"/>
      <c r="CL33" s="835"/>
      <c r="CM33" s="835"/>
      <c r="CN33" s="793" t="s">
        <v>280</v>
      </c>
      <c r="CO33" s="793"/>
      <c r="CP33" s="793"/>
      <c r="CQ33" s="793"/>
      <c r="CR33" s="793"/>
      <c r="CS33" s="793"/>
      <c r="CT33" s="793"/>
      <c r="CU33" s="793"/>
      <c r="CV33" s="73" t="s">
        <v>282</v>
      </c>
      <c r="CW33" s="73" t="s">
        <v>32</v>
      </c>
      <c r="CX33" s="108">
        <v>0</v>
      </c>
      <c r="CY33" s="108">
        <v>0</v>
      </c>
      <c r="CZ33" s="108">
        <v>0</v>
      </c>
      <c r="DA33" s="108">
        <v>0</v>
      </c>
    </row>
    <row r="34" spans="1:105" ht="24" customHeight="1">
      <c r="A34" s="793" t="s">
        <v>283</v>
      </c>
      <c r="B34" s="793"/>
      <c r="C34" s="793"/>
      <c r="D34" s="793"/>
      <c r="E34" s="793"/>
      <c r="F34" s="793"/>
      <c r="G34" s="793"/>
      <c r="H34" s="793"/>
      <c r="I34" s="834" t="s">
        <v>279</v>
      </c>
      <c r="J34" s="835"/>
      <c r="K34" s="835"/>
      <c r="L34" s="835"/>
      <c r="M34" s="835"/>
      <c r="N34" s="835"/>
      <c r="O34" s="835"/>
      <c r="P34" s="835"/>
      <c r="Q34" s="835"/>
      <c r="R34" s="835"/>
      <c r="S34" s="835"/>
      <c r="T34" s="835"/>
      <c r="U34" s="835"/>
      <c r="V34" s="835"/>
      <c r="W34" s="835"/>
      <c r="X34" s="835"/>
      <c r="Y34" s="835"/>
      <c r="Z34" s="835"/>
      <c r="AA34" s="835"/>
      <c r="AB34" s="835"/>
      <c r="AC34" s="835"/>
      <c r="AD34" s="835"/>
      <c r="AE34" s="835"/>
      <c r="AF34" s="835"/>
      <c r="AG34" s="835"/>
      <c r="AH34" s="835"/>
      <c r="AI34" s="835"/>
      <c r="AJ34" s="835"/>
      <c r="AK34" s="835"/>
      <c r="AL34" s="835"/>
      <c r="AM34" s="835"/>
      <c r="AN34" s="835"/>
      <c r="AO34" s="835"/>
      <c r="AP34" s="835"/>
      <c r="AQ34" s="835"/>
      <c r="AR34" s="835"/>
      <c r="AS34" s="835"/>
      <c r="AT34" s="835"/>
      <c r="AU34" s="835"/>
      <c r="AV34" s="835"/>
      <c r="AW34" s="835"/>
      <c r="AX34" s="835"/>
      <c r="AY34" s="835"/>
      <c r="AZ34" s="835"/>
      <c r="BA34" s="835"/>
      <c r="BB34" s="835"/>
      <c r="BC34" s="835"/>
      <c r="BD34" s="835"/>
      <c r="BE34" s="835"/>
      <c r="BF34" s="835"/>
      <c r="BG34" s="835"/>
      <c r="BH34" s="835"/>
      <c r="BI34" s="835"/>
      <c r="BJ34" s="835"/>
      <c r="BK34" s="835"/>
      <c r="BL34" s="835"/>
      <c r="BM34" s="835"/>
      <c r="BN34" s="835"/>
      <c r="BO34" s="835"/>
      <c r="BP34" s="835"/>
      <c r="BQ34" s="835"/>
      <c r="BR34" s="835"/>
      <c r="BS34" s="835"/>
      <c r="BT34" s="835"/>
      <c r="BU34" s="835"/>
      <c r="BV34" s="835"/>
      <c r="BW34" s="835"/>
      <c r="BX34" s="835"/>
      <c r="BY34" s="835"/>
      <c r="BZ34" s="835"/>
      <c r="CA34" s="835"/>
      <c r="CB34" s="835"/>
      <c r="CC34" s="835"/>
      <c r="CD34" s="835"/>
      <c r="CE34" s="835"/>
      <c r="CF34" s="835"/>
      <c r="CG34" s="835"/>
      <c r="CH34" s="835"/>
      <c r="CI34" s="835"/>
      <c r="CJ34" s="835"/>
      <c r="CK34" s="835"/>
      <c r="CL34" s="835"/>
      <c r="CM34" s="835"/>
      <c r="CN34" s="793" t="s">
        <v>280</v>
      </c>
      <c r="CO34" s="793"/>
      <c r="CP34" s="793"/>
      <c r="CQ34" s="793"/>
      <c r="CR34" s="793"/>
      <c r="CS34" s="793"/>
      <c r="CT34" s="793"/>
      <c r="CU34" s="793"/>
      <c r="CV34" s="73" t="s">
        <v>284</v>
      </c>
      <c r="CW34" s="73" t="s">
        <v>32</v>
      </c>
      <c r="CX34" s="108">
        <v>0</v>
      </c>
      <c r="CY34" s="108">
        <v>0</v>
      </c>
      <c r="CZ34" s="108">
        <v>0</v>
      </c>
      <c r="DA34" s="108">
        <v>0</v>
      </c>
    </row>
    <row r="35" spans="1:105" ht="25.5" customHeight="1">
      <c r="A35" s="798">
        <v>3</v>
      </c>
      <c r="B35" s="798"/>
      <c r="C35" s="798"/>
      <c r="D35" s="798"/>
      <c r="E35" s="798"/>
      <c r="F35" s="798"/>
      <c r="G35" s="798"/>
      <c r="H35" s="798"/>
      <c r="I35" s="836" t="s">
        <v>285</v>
      </c>
      <c r="J35" s="836"/>
      <c r="K35" s="836"/>
      <c r="L35" s="836"/>
      <c r="M35" s="836"/>
      <c r="N35" s="836"/>
      <c r="O35" s="836"/>
      <c r="P35" s="836"/>
      <c r="Q35" s="836"/>
      <c r="R35" s="836"/>
      <c r="S35" s="836"/>
      <c r="T35" s="836"/>
      <c r="U35" s="836"/>
      <c r="V35" s="836"/>
      <c r="W35" s="836"/>
      <c r="X35" s="836"/>
      <c r="Y35" s="836"/>
      <c r="Z35" s="836"/>
      <c r="AA35" s="836"/>
      <c r="AB35" s="836"/>
      <c r="AC35" s="836"/>
      <c r="AD35" s="836"/>
      <c r="AE35" s="836"/>
      <c r="AF35" s="836"/>
      <c r="AG35" s="836"/>
      <c r="AH35" s="836"/>
      <c r="AI35" s="836"/>
      <c r="AJ35" s="836"/>
      <c r="AK35" s="836"/>
      <c r="AL35" s="836"/>
      <c r="AM35" s="836"/>
      <c r="AN35" s="836"/>
      <c r="AO35" s="836"/>
      <c r="AP35" s="836"/>
      <c r="AQ35" s="836"/>
      <c r="AR35" s="836"/>
      <c r="AS35" s="836"/>
      <c r="AT35" s="836"/>
      <c r="AU35" s="836"/>
      <c r="AV35" s="836"/>
      <c r="AW35" s="836"/>
      <c r="AX35" s="836"/>
      <c r="AY35" s="836"/>
      <c r="AZ35" s="836"/>
      <c r="BA35" s="836"/>
      <c r="BB35" s="836"/>
      <c r="BC35" s="836"/>
      <c r="BD35" s="836"/>
      <c r="BE35" s="836"/>
      <c r="BF35" s="836"/>
      <c r="BG35" s="836"/>
      <c r="BH35" s="836"/>
      <c r="BI35" s="836"/>
      <c r="BJ35" s="836"/>
      <c r="BK35" s="836"/>
      <c r="BL35" s="836"/>
      <c r="BM35" s="836"/>
      <c r="BN35" s="836"/>
      <c r="BO35" s="836"/>
      <c r="BP35" s="836"/>
      <c r="BQ35" s="836"/>
      <c r="BR35" s="836"/>
      <c r="BS35" s="836"/>
      <c r="BT35" s="836"/>
      <c r="BU35" s="836"/>
      <c r="BV35" s="836"/>
      <c r="BW35" s="836"/>
      <c r="BX35" s="836"/>
      <c r="BY35" s="836"/>
      <c r="BZ35" s="836"/>
      <c r="CA35" s="836"/>
      <c r="CB35" s="836"/>
      <c r="CC35" s="836"/>
      <c r="CD35" s="836"/>
      <c r="CE35" s="836"/>
      <c r="CF35" s="836"/>
      <c r="CG35" s="836"/>
      <c r="CH35" s="836"/>
      <c r="CI35" s="836"/>
      <c r="CJ35" s="836"/>
      <c r="CK35" s="836"/>
      <c r="CL35" s="836"/>
      <c r="CM35" s="836"/>
      <c r="CN35" s="798" t="s">
        <v>286</v>
      </c>
      <c r="CO35" s="798"/>
      <c r="CP35" s="798"/>
      <c r="CQ35" s="798"/>
      <c r="CR35" s="798"/>
      <c r="CS35" s="798"/>
      <c r="CT35" s="798"/>
      <c r="CU35" s="798"/>
      <c r="CV35" s="73" t="s">
        <v>277</v>
      </c>
      <c r="CW35" s="73" t="s">
        <v>32</v>
      </c>
      <c r="CX35" s="108">
        <v>0</v>
      </c>
      <c r="CY35" s="108">
        <v>0</v>
      </c>
      <c r="CZ35" s="108">
        <v>0</v>
      </c>
      <c r="DA35" s="108">
        <v>0</v>
      </c>
    </row>
    <row r="36" spans="1:105" ht="24" customHeight="1">
      <c r="A36" s="793" t="s">
        <v>287</v>
      </c>
      <c r="B36" s="793"/>
      <c r="C36" s="793"/>
      <c r="D36" s="793"/>
      <c r="E36" s="793"/>
      <c r="F36" s="793"/>
      <c r="G36" s="793"/>
      <c r="H36" s="793"/>
      <c r="I36" s="834" t="s">
        <v>279</v>
      </c>
      <c r="J36" s="835"/>
      <c r="K36" s="835"/>
      <c r="L36" s="835"/>
      <c r="M36" s="835"/>
      <c r="N36" s="835"/>
      <c r="O36" s="835"/>
      <c r="P36" s="835"/>
      <c r="Q36" s="835"/>
      <c r="R36" s="835"/>
      <c r="S36" s="835"/>
      <c r="T36" s="835"/>
      <c r="U36" s="835"/>
      <c r="V36" s="835"/>
      <c r="W36" s="835"/>
      <c r="X36" s="835"/>
      <c r="Y36" s="835"/>
      <c r="Z36" s="835"/>
      <c r="AA36" s="835"/>
      <c r="AB36" s="835"/>
      <c r="AC36" s="835"/>
      <c r="AD36" s="835"/>
      <c r="AE36" s="835"/>
      <c r="AF36" s="835"/>
      <c r="AG36" s="835"/>
      <c r="AH36" s="835"/>
      <c r="AI36" s="835"/>
      <c r="AJ36" s="835"/>
      <c r="AK36" s="835"/>
      <c r="AL36" s="835"/>
      <c r="AM36" s="835"/>
      <c r="AN36" s="835"/>
      <c r="AO36" s="835"/>
      <c r="AP36" s="835"/>
      <c r="AQ36" s="835"/>
      <c r="AR36" s="835"/>
      <c r="AS36" s="835"/>
      <c r="AT36" s="835"/>
      <c r="AU36" s="835"/>
      <c r="AV36" s="835"/>
      <c r="AW36" s="835"/>
      <c r="AX36" s="835"/>
      <c r="AY36" s="835"/>
      <c r="AZ36" s="835"/>
      <c r="BA36" s="835"/>
      <c r="BB36" s="835"/>
      <c r="BC36" s="835"/>
      <c r="BD36" s="835"/>
      <c r="BE36" s="835"/>
      <c r="BF36" s="835"/>
      <c r="BG36" s="835"/>
      <c r="BH36" s="835"/>
      <c r="BI36" s="835"/>
      <c r="BJ36" s="835"/>
      <c r="BK36" s="835"/>
      <c r="BL36" s="835"/>
      <c r="BM36" s="835"/>
      <c r="BN36" s="835"/>
      <c r="BO36" s="835"/>
      <c r="BP36" s="835"/>
      <c r="BQ36" s="835"/>
      <c r="BR36" s="835"/>
      <c r="BS36" s="835"/>
      <c r="BT36" s="835"/>
      <c r="BU36" s="835"/>
      <c r="BV36" s="835"/>
      <c r="BW36" s="835"/>
      <c r="BX36" s="835"/>
      <c r="BY36" s="835"/>
      <c r="BZ36" s="835"/>
      <c r="CA36" s="835"/>
      <c r="CB36" s="835"/>
      <c r="CC36" s="835"/>
      <c r="CD36" s="835"/>
      <c r="CE36" s="835"/>
      <c r="CF36" s="835"/>
      <c r="CG36" s="835"/>
      <c r="CH36" s="835"/>
      <c r="CI36" s="835"/>
      <c r="CJ36" s="835"/>
      <c r="CK36" s="835"/>
      <c r="CL36" s="835"/>
      <c r="CM36" s="835"/>
      <c r="CN36" s="793" t="s">
        <v>288</v>
      </c>
      <c r="CO36" s="793"/>
      <c r="CP36" s="793"/>
      <c r="CQ36" s="793"/>
      <c r="CR36" s="793"/>
      <c r="CS36" s="793"/>
      <c r="CT36" s="793"/>
      <c r="CU36" s="793"/>
      <c r="CV36" s="73" t="s">
        <v>235</v>
      </c>
      <c r="CW36" s="73" t="s">
        <v>32</v>
      </c>
      <c r="CX36" s="108">
        <v>0</v>
      </c>
      <c r="CY36" s="108">
        <v>0</v>
      </c>
      <c r="CZ36" s="108">
        <v>0</v>
      </c>
      <c r="DA36" s="108">
        <v>0</v>
      </c>
    </row>
    <row r="37" spans="1:105" ht="24" customHeight="1">
      <c r="A37" s="793" t="s">
        <v>289</v>
      </c>
      <c r="B37" s="793"/>
      <c r="C37" s="793"/>
      <c r="D37" s="793"/>
      <c r="E37" s="793"/>
      <c r="F37" s="793"/>
      <c r="G37" s="793"/>
      <c r="H37" s="793"/>
      <c r="I37" s="834" t="s">
        <v>279</v>
      </c>
      <c r="J37" s="835"/>
      <c r="K37" s="835"/>
      <c r="L37" s="835"/>
      <c r="M37" s="835"/>
      <c r="N37" s="835"/>
      <c r="O37" s="835"/>
      <c r="P37" s="835"/>
      <c r="Q37" s="835"/>
      <c r="R37" s="835"/>
      <c r="S37" s="835"/>
      <c r="T37" s="835"/>
      <c r="U37" s="835"/>
      <c r="V37" s="835"/>
      <c r="W37" s="835"/>
      <c r="X37" s="835"/>
      <c r="Y37" s="835"/>
      <c r="Z37" s="835"/>
      <c r="AA37" s="835"/>
      <c r="AB37" s="835"/>
      <c r="AC37" s="835"/>
      <c r="AD37" s="835"/>
      <c r="AE37" s="835"/>
      <c r="AF37" s="835"/>
      <c r="AG37" s="835"/>
      <c r="AH37" s="835"/>
      <c r="AI37" s="835"/>
      <c r="AJ37" s="835"/>
      <c r="AK37" s="835"/>
      <c r="AL37" s="835"/>
      <c r="AM37" s="835"/>
      <c r="AN37" s="835"/>
      <c r="AO37" s="835"/>
      <c r="AP37" s="835"/>
      <c r="AQ37" s="835"/>
      <c r="AR37" s="835"/>
      <c r="AS37" s="835"/>
      <c r="AT37" s="835"/>
      <c r="AU37" s="835"/>
      <c r="AV37" s="835"/>
      <c r="AW37" s="835"/>
      <c r="AX37" s="835"/>
      <c r="AY37" s="835"/>
      <c r="AZ37" s="835"/>
      <c r="BA37" s="835"/>
      <c r="BB37" s="835"/>
      <c r="BC37" s="835"/>
      <c r="BD37" s="835"/>
      <c r="BE37" s="835"/>
      <c r="BF37" s="835"/>
      <c r="BG37" s="835"/>
      <c r="BH37" s="835"/>
      <c r="BI37" s="835"/>
      <c r="BJ37" s="835"/>
      <c r="BK37" s="835"/>
      <c r="BL37" s="835"/>
      <c r="BM37" s="835"/>
      <c r="BN37" s="835"/>
      <c r="BO37" s="835"/>
      <c r="BP37" s="835"/>
      <c r="BQ37" s="835"/>
      <c r="BR37" s="835"/>
      <c r="BS37" s="835"/>
      <c r="BT37" s="835"/>
      <c r="BU37" s="835"/>
      <c r="BV37" s="835"/>
      <c r="BW37" s="835"/>
      <c r="BX37" s="835"/>
      <c r="BY37" s="835"/>
      <c r="BZ37" s="835"/>
      <c r="CA37" s="835"/>
      <c r="CB37" s="835"/>
      <c r="CC37" s="835"/>
      <c r="CD37" s="835"/>
      <c r="CE37" s="835"/>
      <c r="CF37" s="835"/>
      <c r="CG37" s="835"/>
      <c r="CH37" s="835"/>
      <c r="CI37" s="835"/>
      <c r="CJ37" s="835"/>
      <c r="CK37" s="835"/>
      <c r="CL37" s="835"/>
      <c r="CM37" s="835"/>
      <c r="CN37" s="793" t="s">
        <v>288</v>
      </c>
      <c r="CO37" s="793"/>
      <c r="CP37" s="793"/>
      <c r="CQ37" s="793"/>
      <c r="CR37" s="793"/>
      <c r="CS37" s="793"/>
      <c r="CT37" s="793"/>
      <c r="CU37" s="793"/>
      <c r="CV37" s="73" t="s">
        <v>282</v>
      </c>
      <c r="CW37" s="73" t="s">
        <v>32</v>
      </c>
      <c r="CX37" s="108">
        <v>0</v>
      </c>
      <c r="CY37" s="108">
        <v>0</v>
      </c>
      <c r="CZ37" s="108">
        <v>0</v>
      </c>
      <c r="DA37" s="108">
        <v>0</v>
      </c>
    </row>
    <row r="38" spans="1:105" ht="24" customHeight="1">
      <c r="A38" s="793" t="s">
        <v>290</v>
      </c>
      <c r="B38" s="793"/>
      <c r="C38" s="793"/>
      <c r="D38" s="793"/>
      <c r="E38" s="793"/>
      <c r="F38" s="793"/>
      <c r="G38" s="793"/>
      <c r="H38" s="793"/>
      <c r="I38" s="834" t="s">
        <v>279</v>
      </c>
      <c r="J38" s="835"/>
      <c r="K38" s="835"/>
      <c r="L38" s="835"/>
      <c r="M38" s="835"/>
      <c r="N38" s="835"/>
      <c r="O38" s="835"/>
      <c r="P38" s="835"/>
      <c r="Q38" s="835"/>
      <c r="R38" s="835"/>
      <c r="S38" s="835"/>
      <c r="T38" s="835"/>
      <c r="U38" s="835"/>
      <c r="V38" s="835"/>
      <c r="W38" s="835"/>
      <c r="X38" s="835"/>
      <c r="Y38" s="835"/>
      <c r="Z38" s="835"/>
      <c r="AA38" s="835"/>
      <c r="AB38" s="835"/>
      <c r="AC38" s="835"/>
      <c r="AD38" s="835"/>
      <c r="AE38" s="835"/>
      <c r="AF38" s="835"/>
      <c r="AG38" s="835"/>
      <c r="AH38" s="835"/>
      <c r="AI38" s="835"/>
      <c r="AJ38" s="835"/>
      <c r="AK38" s="835"/>
      <c r="AL38" s="835"/>
      <c r="AM38" s="835"/>
      <c r="AN38" s="835"/>
      <c r="AO38" s="835"/>
      <c r="AP38" s="835"/>
      <c r="AQ38" s="835"/>
      <c r="AR38" s="835"/>
      <c r="AS38" s="835"/>
      <c r="AT38" s="835"/>
      <c r="AU38" s="835"/>
      <c r="AV38" s="835"/>
      <c r="AW38" s="835"/>
      <c r="AX38" s="835"/>
      <c r="AY38" s="835"/>
      <c r="AZ38" s="835"/>
      <c r="BA38" s="835"/>
      <c r="BB38" s="835"/>
      <c r="BC38" s="835"/>
      <c r="BD38" s="835"/>
      <c r="BE38" s="835"/>
      <c r="BF38" s="835"/>
      <c r="BG38" s="835"/>
      <c r="BH38" s="835"/>
      <c r="BI38" s="835"/>
      <c r="BJ38" s="835"/>
      <c r="BK38" s="835"/>
      <c r="BL38" s="835"/>
      <c r="BM38" s="835"/>
      <c r="BN38" s="835"/>
      <c r="BO38" s="835"/>
      <c r="BP38" s="835"/>
      <c r="BQ38" s="835"/>
      <c r="BR38" s="835"/>
      <c r="BS38" s="835"/>
      <c r="BT38" s="835"/>
      <c r="BU38" s="835"/>
      <c r="BV38" s="835"/>
      <c r="BW38" s="835"/>
      <c r="BX38" s="835"/>
      <c r="BY38" s="835"/>
      <c r="BZ38" s="835"/>
      <c r="CA38" s="835"/>
      <c r="CB38" s="835"/>
      <c r="CC38" s="835"/>
      <c r="CD38" s="835"/>
      <c r="CE38" s="835"/>
      <c r="CF38" s="835"/>
      <c r="CG38" s="835"/>
      <c r="CH38" s="835"/>
      <c r="CI38" s="835"/>
      <c r="CJ38" s="835"/>
      <c r="CK38" s="835"/>
      <c r="CL38" s="835"/>
      <c r="CM38" s="835"/>
      <c r="CN38" s="793" t="s">
        <v>288</v>
      </c>
      <c r="CO38" s="793"/>
      <c r="CP38" s="793"/>
      <c r="CQ38" s="793"/>
      <c r="CR38" s="793"/>
      <c r="CS38" s="793"/>
      <c r="CT38" s="793"/>
      <c r="CU38" s="793"/>
      <c r="CV38" s="73" t="s">
        <v>284</v>
      </c>
      <c r="CW38" s="73" t="s">
        <v>32</v>
      </c>
      <c r="CX38" s="108">
        <v>0</v>
      </c>
      <c r="CY38" s="108">
        <v>0</v>
      </c>
      <c r="CZ38" s="108">
        <v>0</v>
      </c>
      <c r="DA38" s="108">
        <v>0</v>
      </c>
    </row>
    <row r="39" spans="1:105" ht="15"/>
    <row r="40" spans="1:105" ht="27.75" customHeight="1">
      <c r="A40" s="75"/>
      <c r="B40" s="75"/>
      <c r="C40" s="75"/>
      <c r="D40" s="75"/>
      <c r="E40" s="75"/>
      <c r="F40" s="75"/>
      <c r="G40" s="75"/>
      <c r="H40" s="75"/>
      <c r="I40" s="67" t="s">
        <v>291</v>
      </c>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97" t="s">
        <v>179</v>
      </c>
      <c r="AN40" s="797"/>
      <c r="AO40" s="797"/>
      <c r="AP40" s="797"/>
      <c r="AQ40" s="797"/>
      <c r="AR40" s="797"/>
      <c r="AS40" s="797"/>
      <c r="AT40" s="797"/>
      <c r="AU40" s="797"/>
      <c r="AV40" s="797"/>
      <c r="AW40" s="797"/>
      <c r="AX40" s="797"/>
      <c r="AY40" s="797"/>
      <c r="AZ40" s="797"/>
      <c r="BA40" s="797"/>
      <c r="BB40" s="797"/>
      <c r="BC40" s="797"/>
      <c r="BD40" s="797"/>
      <c r="BE40" s="75"/>
      <c r="BF40" s="75"/>
      <c r="BG40" s="797" t="s">
        <v>292</v>
      </c>
      <c r="BH40" s="797"/>
      <c r="BI40" s="797"/>
      <c r="BJ40" s="797"/>
      <c r="BK40" s="797"/>
      <c r="BL40" s="797"/>
      <c r="BM40" s="797"/>
      <c r="BN40" s="797"/>
      <c r="BO40" s="797"/>
      <c r="BP40" s="797"/>
      <c r="BQ40" s="797"/>
      <c r="BR40" s="797"/>
      <c r="BS40" s="797"/>
      <c r="BT40" s="797"/>
      <c r="BU40" s="797"/>
      <c r="BV40" s="797"/>
      <c r="BW40" s="797"/>
      <c r="BX40" s="797"/>
      <c r="BY40" s="75"/>
      <c r="BZ40" s="75"/>
      <c r="CA40" s="789" t="s">
        <v>293</v>
      </c>
      <c r="CB40" s="789"/>
      <c r="CC40" s="789"/>
      <c r="CD40" s="789"/>
      <c r="CE40" s="789"/>
      <c r="CF40" s="789"/>
      <c r="CG40" s="789"/>
      <c r="CH40" s="789"/>
      <c r="CI40" s="789"/>
      <c r="CJ40" s="789"/>
      <c r="CK40" s="789"/>
      <c r="CL40" s="789"/>
      <c r="CM40" s="789"/>
      <c r="CN40" s="789"/>
      <c r="CO40" s="789"/>
      <c r="CP40" s="789"/>
      <c r="CQ40" s="789"/>
      <c r="CR40" s="789"/>
    </row>
    <row r="41" spans="1:105" ht="11.25" customHeight="1">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81" t="s">
        <v>294</v>
      </c>
      <c r="AN41" s="781"/>
      <c r="AO41" s="781"/>
      <c r="AP41" s="781"/>
      <c r="AQ41" s="781"/>
      <c r="AR41" s="781"/>
      <c r="AS41" s="781"/>
      <c r="AT41" s="781"/>
      <c r="AU41" s="781"/>
      <c r="AV41" s="781"/>
      <c r="AW41" s="781"/>
      <c r="AX41" s="781"/>
      <c r="AY41" s="781"/>
      <c r="AZ41" s="781"/>
      <c r="BA41" s="781"/>
      <c r="BB41" s="781"/>
      <c r="BC41" s="781"/>
      <c r="BD41" s="781"/>
      <c r="BE41" s="75"/>
      <c r="BF41" s="75"/>
      <c r="BG41" s="781" t="s">
        <v>295</v>
      </c>
      <c r="BH41" s="781"/>
      <c r="BI41" s="781"/>
      <c r="BJ41" s="781"/>
      <c r="BK41" s="781"/>
      <c r="BL41" s="781"/>
      <c r="BM41" s="781"/>
      <c r="BN41" s="781"/>
      <c r="BO41" s="781"/>
      <c r="BP41" s="781"/>
      <c r="BQ41" s="781"/>
      <c r="BR41" s="781"/>
      <c r="BS41" s="781"/>
      <c r="BT41" s="781"/>
      <c r="BU41" s="781"/>
      <c r="BV41" s="781"/>
      <c r="BW41" s="781"/>
      <c r="BX41" s="781"/>
      <c r="BY41" s="75"/>
      <c r="BZ41" s="75"/>
      <c r="CA41" s="781" t="s">
        <v>296</v>
      </c>
      <c r="CB41" s="781"/>
      <c r="CC41" s="781"/>
      <c r="CD41" s="781"/>
      <c r="CE41" s="781"/>
      <c r="CF41" s="781"/>
      <c r="CG41" s="781"/>
      <c r="CH41" s="781"/>
      <c r="CI41" s="781"/>
      <c r="CJ41" s="781"/>
      <c r="CK41" s="781"/>
      <c r="CL41" s="781"/>
      <c r="CM41" s="781"/>
      <c r="CN41" s="781"/>
      <c r="CO41" s="781"/>
      <c r="CP41" s="781"/>
      <c r="CQ41" s="781"/>
      <c r="CR41" s="781"/>
    </row>
    <row r="42" spans="1:105" ht="3" customHeight="1">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6"/>
      <c r="AN42" s="76"/>
      <c r="AO42" s="76"/>
      <c r="AP42" s="76"/>
      <c r="AQ42" s="76"/>
      <c r="AR42" s="76"/>
      <c r="AS42" s="76"/>
      <c r="AT42" s="76"/>
      <c r="AU42" s="76"/>
      <c r="AV42" s="76"/>
      <c r="AW42" s="76"/>
      <c r="AX42" s="76"/>
      <c r="AY42" s="76"/>
      <c r="AZ42" s="76"/>
      <c r="BA42" s="76"/>
      <c r="BB42" s="76"/>
      <c r="BC42" s="76"/>
      <c r="BD42" s="76"/>
      <c r="BE42" s="75"/>
      <c r="BF42" s="75"/>
      <c r="BG42" s="76"/>
      <c r="BH42" s="76"/>
      <c r="BI42" s="76"/>
      <c r="BJ42" s="76"/>
      <c r="BK42" s="76"/>
      <c r="BL42" s="76"/>
      <c r="BM42" s="76"/>
      <c r="BN42" s="76"/>
      <c r="BO42" s="76"/>
      <c r="BP42" s="76"/>
      <c r="BQ42" s="76"/>
      <c r="BR42" s="76"/>
      <c r="BS42" s="76"/>
      <c r="BT42" s="76"/>
      <c r="BU42" s="76"/>
      <c r="BV42" s="76"/>
      <c r="BW42" s="76"/>
      <c r="BX42" s="76"/>
      <c r="BY42" s="75"/>
      <c r="BZ42" s="75"/>
      <c r="CA42" s="76"/>
      <c r="CB42" s="76"/>
      <c r="CC42" s="76"/>
      <c r="CD42" s="76"/>
      <c r="CE42" s="76"/>
      <c r="CF42" s="76"/>
      <c r="CG42" s="76"/>
      <c r="CH42" s="76"/>
      <c r="CI42" s="76"/>
      <c r="CJ42" s="76"/>
      <c r="CK42" s="76"/>
      <c r="CL42" s="76"/>
      <c r="CM42" s="76"/>
      <c r="CN42" s="76"/>
      <c r="CO42" s="76"/>
      <c r="CP42" s="76"/>
      <c r="CQ42" s="76"/>
      <c r="CR42" s="76"/>
    </row>
    <row r="43" spans="1:105" ht="13.15" customHeight="1">
      <c r="A43" s="75"/>
      <c r="B43" s="75"/>
      <c r="C43" s="75"/>
      <c r="D43" s="75"/>
      <c r="E43" s="75"/>
      <c r="F43" s="75"/>
      <c r="G43" s="75"/>
      <c r="H43" s="75"/>
      <c r="I43" s="788" t="s">
        <v>297</v>
      </c>
      <c r="J43" s="788"/>
      <c r="K43" s="789"/>
      <c r="L43" s="789"/>
      <c r="M43" s="789"/>
      <c r="N43" s="790" t="s">
        <v>297</v>
      </c>
      <c r="O43" s="790"/>
      <c r="P43" s="75"/>
      <c r="Q43" s="789"/>
      <c r="R43" s="789"/>
      <c r="S43" s="789"/>
      <c r="T43" s="789"/>
      <c r="U43" s="789"/>
      <c r="V43" s="789"/>
      <c r="W43" s="789"/>
      <c r="X43" s="789"/>
      <c r="Y43" s="789"/>
      <c r="Z43" s="789"/>
      <c r="AA43" s="789"/>
      <c r="AB43" s="789"/>
      <c r="AC43" s="789"/>
      <c r="AD43" s="789"/>
      <c r="AE43" s="789"/>
      <c r="AF43" s="65"/>
      <c r="AG43" s="791" t="s">
        <v>235</v>
      </c>
      <c r="AH43" s="792"/>
      <c r="AI43" s="792"/>
      <c r="AJ43" s="792"/>
      <c r="AK43" s="792"/>
      <c r="AL43" s="67" t="s">
        <v>300</v>
      </c>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row>
    <row r="44" spans="1:105" ht="10.9" customHeight="1">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row>
    <row r="45" spans="1:105" ht="3" customHeight="1">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8"/>
      <c r="CN45" s="75"/>
      <c r="CO45" s="75"/>
      <c r="CP45" s="75"/>
      <c r="CQ45" s="75"/>
      <c r="CR45" s="75"/>
    </row>
    <row r="46" spans="1:105" ht="20.25" customHeight="1">
      <c r="A46" s="79" t="s">
        <v>301</v>
      </c>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1"/>
      <c r="CN46" s="75"/>
      <c r="CO46" s="75"/>
      <c r="CP46" s="75"/>
      <c r="CQ46" s="75"/>
      <c r="CR46" s="75"/>
    </row>
    <row r="47" spans="1:105" ht="27.75" customHeight="1">
      <c r="A47" s="777" t="s">
        <v>302</v>
      </c>
      <c r="B47" s="778"/>
      <c r="C47" s="778"/>
      <c r="D47" s="778"/>
      <c r="E47" s="778"/>
      <c r="F47" s="778"/>
      <c r="G47" s="778"/>
      <c r="H47" s="778"/>
      <c r="I47" s="778"/>
      <c r="J47" s="778"/>
      <c r="K47" s="778"/>
      <c r="L47" s="778"/>
      <c r="M47" s="778"/>
      <c r="N47" s="778"/>
      <c r="O47" s="778"/>
      <c r="P47" s="778"/>
      <c r="Q47" s="778"/>
      <c r="R47" s="778"/>
      <c r="S47" s="778"/>
      <c r="T47" s="778"/>
      <c r="U47" s="778"/>
      <c r="V47" s="778"/>
      <c r="W47" s="778"/>
      <c r="X47" s="778"/>
      <c r="Y47" s="778"/>
      <c r="Z47" s="778"/>
      <c r="AA47" s="778"/>
      <c r="AB47" s="778"/>
      <c r="AC47" s="778"/>
      <c r="AD47" s="778"/>
      <c r="AE47" s="778"/>
      <c r="AF47" s="778"/>
      <c r="AG47" s="778"/>
      <c r="AH47" s="778"/>
      <c r="AI47" s="778"/>
      <c r="AJ47" s="778"/>
      <c r="AK47" s="778"/>
      <c r="AL47" s="778"/>
      <c r="AM47" s="778"/>
      <c r="AN47" s="778"/>
      <c r="AO47" s="778"/>
      <c r="AP47" s="778"/>
      <c r="AQ47" s="778"/>
      <c r="AR47" s="778"/>
      <c r="AS47" s="778"/>
      <c r="AT47" s="778"/>
      <c r="AU47" s="778"/>
      <c r="AV47" s="778"/>
      <c r="AW47" s="778"/>
      <c r="AX47" s="778"/>
      <c r="AY47" s="778"/>
      <c r="AZ47" s="778"/>
      <c r="BA47" s="778"/>
      <c r="BB47" s="778"/>
      <c r="BC47" s="778"/>
      <c r="BD47" s="778"/>
      <c r="BE47" s="778"/>
      <c r="BF47" s="778"/>
      <c r="BG47" s="778"/>
      <c r="BH47" s="778"/>
      <c r="BI47" s="778"/>
      <c r="BJ47" s="778"/>
      <c r="BK47" s="778"/>
      <c r="BL47" s="778"/>
      <c r="BM47" s="778"/>
      <c r="BN47" s="778"/>
      <c r="BO47" s="778"/>
      <c r="BP47" s="778"/>
      <c r="BQ47" s="778"/>
      <c r="BR47" s="778"/>
      <c r="BS47" s="778"/>
      <c r="BT47" s="778"/>
      <c r="BU47" s="778"/>
      <c r="BV47" s="778"/>
      <c r="BW47" s="778"/>
      <c r="BX47" s="778"/>
      <c r="BY47" s="778"/>
      <c r="BZ47" s="778"/>
      <c r="CA47" s="778"/>
      <c r="CB47" s="778"/>
      <c r="CC47" s="778"/>
      <c r="CD47" s="778"/>
      <c r="CE47" s="778"/>
      <c r="CF47" s="778"/>
      <c r="CG47" s="778"/>
      <c r="CH47" s="778"/>
      <c r="CI47" s="778"/>
      <c r="CJ47" s="778"/>
      <c r="CK47" s="778"/>
      <c r="CL47" s="778"/>
      <c r="CM47" s="779"/>
      <c r="CN47" s="75"/>
      <c r="CO47" s="75"/>
      <c r="CP47" s="75"/>
      <c r="CQ47" s="75"/>
      <c r="CR47" s="75"/>
    </row>
    <row r="48" spans="1:105" ht="7.9" customHeight="1">
      <c r="A48" s="774" t="s">
        <v>303</v>
      </c>
      <c r="B48" s="775"/>
      <c r="C48" s="775"/>
      <c r="D48" s="775"/>
      <c r="E48" s="775"/>
      <c r="F48" s="775"/>
      <c r="G48" s="775"/>
      <c r="H48" s="775"/>
      <c r="I48" s="775"/>
      <c r="J48" s="775"/>
      <c r="K48" s="775"/>
      <c r="L48" s="775"/>
      <c r="M48" s="775"/>
      <c r="N48" s="775"/>
      <c r="O48" s="775"/>
      <c r="P48" s="775"/>
      <c r="Q48" s="775"/>
      <c r="R48" s="775"/>
      <c r="S48" s="775"/>
      <c r="T48" s="775"/>
      <c r="U48" s="775"/>
      <c r="V48" s="775"/>
      <c r="W48" s="775"/>
      <c r="X48" s="775"/>
      <c r="Y48" s="775"/>
      <c r="Z48" s="775"/>
      <c r="AA48" s="775"/>
      <c r="AB48" s="775"/>
      <c r="AC48" s="775"/>
      <c r="AD48" s="775"/>
      <c r="AE48" s="775"/>
      <c r="AF48" s="775"/>
      <c r="AG48" s="775"/>
      <c r="AH48" s="775"/>
      <c r="AI48" s="775"/>
      <c r="AJ48" s="775"/>
      <c r="AK48" s="775"/>
      <c r="AL48" s="775"/>
      <c r="AM48" s="775"/>
      <c r="AN48" s="775"/>
      <c r="AO48" s="775"/>
      <c r="AP48" s="775"/>
      <c r="AQ48" s="775"/>
      <c r="AR48" s="775"/>
      <c r="AS48" s="775"/>
      <c r="AT48" s="775"/>
      <c r="AU48" s="775"/>
      <c r="AV48" s="775"/>
      <c r="AW48" s="775"/>
      <c r="AX48" s="775"/>
      <c r="AY48" s="775"/>
      <c r="AZ48" s="775"/>
      <c r="BA48" s="775"/>
      <c r="BB48" s="775"/>
      <c r="BC48" s="775"/>
      <c r="BD48" s="775"/>
      <c r="BE48" s="775"/>
      <c r="BF48" s="775"/>
      <c r="BG48" s="775"/>
      <c r="BH48" s="775"/>
      <c r="BI48" s="775"/>
      <c r="BJ48" s="775"/>
      <c r="BK48" s="775"/>
      <c r="BL48" s="775"/>
      <c r="BM48" s="775"/>
      <c r="BN48" s="775"/>
      <c r="BO48" s="775"/>
      <c r="BP48" s="775"/>
      <c r="BQ48" s="775"/>
      <c r="BR48" s="775"/>
      <c r="BS48" s="775"/>
      <c r="BT48" s="775"/>
      <c r="BU48" s="775"/>
      <c r="BV48" s="775"/>
      <c r="BW48" s="775"/>
      <c r="BX48" s="775"/>
      <c r="BY48" s="775"/>
      <c r="BZ48" s="775"/>
      <c r="CA48" s="775"/>
      <c r="CB48" s="775"/>
      <c r="CC48" s="775"/>
      <c r="CD48" s="775"/>
      <c r="CE48" s="775"/>
      <c r="CF48" s="775"/>
      <c r="CG48" s="775"/>
      <c r="CH48" s="775"/>
      <c r="CI48" s="775"/>
      <c r="CJ48" s="775"/>
      <c r="CK48" s="775"/>
      <c r="CL48" s="775"/>
      <c r="CM48" s="776"/>
      <c r="CN48" s="75"/>
      <c r="CO48" s="75"/>
      <c r="CP48" s="75"/>
      <c r="CQ48" s="75"/>
      <c r="CR48" s="75"/>
    </row>
    <row r="49" spans="1:96" ht="6" customHeight="1">
      <c r="A49" s="82"/>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3"/>
      <c r="CM49" s="84"/>
      <c r="CN49" s="75"/>
      <c r="CO49" s="75"/>
      <c r="CP49" s="75"/>
      <c r="CQ49" s="75"/>
      <c r="CR49" s="75"/>
    </row>
    <row r="50" spans="1:96" ht="26.25" customHeight="1">
      <c r="A50" s="777"/>
      <c r="B50" s="778"/>
      <c r="C50" s="778"/>
      <c r="D50" s="778"/>
      <c r="E50" s="778"/>
      <c r="F50" s="778"/>
      <c r="G50" s="778"/>
      <c r="H50" s="778"/>
      <c r="I50" s="778"/>
      <c r="J50" s="778"/>
      <c r="K50" s="778"/>
      <c r="L50" s="778"/>
      <c r="M50" s="778"/>
      <c r="N50" s="778"/>
      <c r="O50" s="778"/>
      <c r="P50" s="778"/>
      <c r="Q50" s="778"/>
      <c r="R50" s="778"/>
      <c r="S50" s="778"/>
      <c r="T50" s="778"/>
      <c r="U50" s="778"/>
      <c r="V50" s="778"/>
      <c r="W50" s="778"/>
      <c r="X50" s="778"/>
      <c r="Y50" s="778"/>
      <c r="Z50" s="80"/>
      <c r="AA50" s="80"/>
      <c r="AB50" s="80"/>
      <c r="AC50" s="80"/>
      <c r="AD50" s="80"/>
      <c r="AE50" s="80"/>
      <c r="AF50" s="80"/>
      <c r="AG50" s="80"/>
      <c r="AH50" s="778" t="s">
        <v>304</v>
      </c>
      <c r="AI50" s="778"/>
      <c r="AJ50" s="778"/>
      <c r="AK50" s="778"/>
      <c r="AL50" s="778"/>
      <c r="AM50" s="778"/>
      <c r="AN50" s="778"/>
      <c r="AO50" s="778"/>
      <c r="AP50" s="778"/>
      <c r="AQ50" s="778"/>
      <c r="AR50" s="778"/>
      <c r="AS50" s="778"/>
      <c r="AT50" s="778"/>
      <c r="AU50" s="778"/>
      <c r="AV50" s="778"/>
      <c r="AW50" s="778"/>
      <c r="AX50" s="778"/>
      <c r="AY50" s="778"/>
      <c r="AZ50" s="778"/>
      <c r="BA50" s="778"/>
      <c r="BB50" s="778"/>
      <c r="BC50" s="778"/>
      <c r="BD50" s="778"/>
      <c r="BE50" s="778"/>
      <c r="BF50" s="778"/>
      <c r="BG50" s="778"/>
      <c r="BH50" s="778"/>
      <c r="BI50" s="778"/>
      <c r="BJ50" s="778"/>
      <c r="BK50" s="778"/>
      <c r="BL50" s="778"/>
      <c r="BM50" s="778"/>
      <c r="BN50" s="778"/>
      <c r="BO50" s="778"/>
      <c r="BP50" s="778"/>
      <c r="BQ50" s="778"/>
      <c r="BR50" s="778"/>
      <c r="BS50" s="778"/>
      <c r="BT50" s="778"/>
      <c r="BU50" s="778"/>
      <c r="BV50" s="778"/>
      <c r="BW50" s="778"/>
      <c r="BX50" s="778"/>
      <c r="BY50" s="778"/>
      <c r="BZ50" s="778"/>
      <c r="CA50" s="778"/>
      <c r="CB50" s="778"/>
      <c r="CC50" s="778"/>
      <c r="CD50" s="778"/>
      <c r="CE50" s="778"/>
      <c r="CF50" s="778"/>
      <c r="CG50" s="778"/>
      <c r="CH50" s="778"/>
      <c r="CI50" s="778"/>
      <c r="CJ50" s="778"/>
      <c r="CK50" s="778"/>
      <c r="CL50" s="778"/>
      <c r="CM50" s="779"/>
      <c r="CN50" s="75"/>
      <c r="CO50" s="75"/>
      <c r="CP50" s="75"/>
      <c r="CQ50" s="75"/>
      <c r="CR50" s="75"/>
    </row>
    <row r="51" spans="1:96" ht="12.75" customHeight="1">
      <c r="A51" s="780" t="s">
        <v>305</v>
      </c>
      <c r="B51" s="781"/>
      <c r="C51" s="781"/>
      <c r="D51" s="781"/>
      <c r="E51" s="781"/>
      <c r="F51" s="781"/>
      <c r="G51" s="781"/>
      <c r="H51" s="781"/>
      <c r="I51" s="781"/>
      <c r="J51" s="781"/>
      <c r="K51" s="781"/>
      <c r="L51" s="781"/>
      <c r="M51" s="781"/>
      <c r="N51" s="781"/>
      <c r="O51" s="781"/>
      <c r="P51" s="781"/>
      <c r="Q51" s="781"/>
      <c r="R51" s="781"/>
      <c r="S51" s="781"/>
      <c r="T51" s="781"/>
      <c r="U51" s="781"/>
      <c r="V51" s="781"/>
      <c r="W51" s="781"/>
      <c r="X51" s="781"/>
      <c r="Y51" s="781"/>
      <c r="Z51" s="85"/>
      <c r="AA51" s="85"/>
      <c r="AB51" s="85"/>
      <c r="AC51" s="85"/>
      <c r="AD51" s="85"/>
      <c r="AE51" s="85"/>
      <c r="AF51" s="85"/>
      <c r="AG51" s="85"/>
      <c r="AH51" s="781" t="s">
        <v>199</v>
      </c>
      <c r="AI51" s="781"/>
      <c r="AJ51" s="781"/>
      <c r="AK51" s="781"/>
      <c r="AL51" s="781"/>
      <c r="AM51" s="781"/>
      <c r="AN51" s="781"/>
      <c r="AO51" s="781"/>
      <c r="AP51" s="781"/>
      <c r="AQ51" s="781"/>
      <c r="AR51" s="781"/>
      <c r="AS51" s="781"/>
      <c r="AT51" s="781"/>
      <c r="AU51" s="781"/>
      <c r="AV51" s="781"/>
      <c r="AW51" s="781"/>
      <c r="AX51" s="781"/>
      <c r="AY51" s="781"/>
      <c r="AZ51" s="781"/>
      <c r="BA51" s="781"/>
      <c r="BB51" s="781"/>
      <c r="BC51" s="781"/>
      <c r="BD51" s="781"/>
      <c r="BE51" s="781"/>
      <c r="BF51" s="781"/>
      <c r="BG51" s="781"/>
      <c r="BH51" s="781"/>
      <c r="BI51" s="781"/>
      <c r="BJ51" s="781"/>
      <c r="BK51" s="781"/>
      <c r="BL51" s="781"/>
      <c r="BM51" s="781"/>
      <c r="BN51" s="781"/>
      <c r="BO51" s="781"/>
      <c r="BP51" s="781"/>
      <c r="BQ51" s="781"/>
      <c r="BR51" s="781"/>
      <c r="BS51" s="781"/>
      <c r="BT51" s="781"/>
      <c r="BU51" s="781"/>
      <c r="BV51" s="781"/>
      <c r="BW51" s="781"/>
      <c r="BX51" s="781"/>
      <c r="BY51" s="781"/>
      <c r="BZ51" s="781"/>
      <c r="CA51" s="781"/>
      <c r="CB51" s="781"/>
      <c r="CC51" s="781"/>
      <c r="CD51" s="781"/>
      <c r="CE51" s="781"/>
      <c r="CF51" s="781"/>
      <c r="CG51" s="781"/>
      <c r="CH51" s="781"/>
      <c r="CI51" s="781"/>
      <c r="CJ51" s="781"/>
      <c r="CK51" s="781"/>
      <c r="CL51" s="781"/>
      <c r="CM51" s="782"/>
      <c r="CN51" s="75"/>
      <c r="CO51" s="75"/>
      <c r="CP51" s="75"/>
      <c r="CQ51" s="75"/>
      <c r="CR51" s="75"/>
    </row>
    <row r="52" spans="1:96" ht="10.15" customHeight="1">
      <c r="A52" s="79"/>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1"/>
      <c r="CN52" s="75"/>
      <c r="CO52" s="75"/>
      <c r="CP52" s="75"/>
      <c r="CQ52" s="75"/>
      <c r="CR52" s="75"/>
    </row>
    <row r="53" spans="1:96" ht="32.25" customHeight="1">
      <c r="A53" s="783" t="s">
        <v>297</v>
      </c>
      <c r="B53" s="784"/>
      <c r="C53" s="832"/>
      <c r="D53" s="832"/>
      <c r="E53" s="832"/>
      <c r="F53" s="786" t="s">
        <v>297</v>
      </c>
      <c r="G53" s="786"/>
      <c r="H53" s="80"/>
      <c r="I53" s="833"/>
      <c r="J53" s="833"/>
      <c r="K53" s="833"/>
      <c r="L53" s="833"/>
      <c r="M53" s="833"/>
      <c r="N53" s="833"/>
      <c r="O53" s="833"/>
      <c r="P53" s="833"/>
      <c r="Q53" s="833"/>
      <c r="R53" s="833"/>
      <c r="S53" s="833"/>
      <c r="T53" s="833"/>
      <c r="U53" s="833"/>
      <c r="V53" s="833"/>
      <c r="W53" s="833"/>
      <c r="X53" s="784">
        <v>20</v>
      </c>
      <c r="Y53" s="784"/>
      <c r="Z53" s="784"/>
      <c r="AA53" s="787" t="s">
        <v>306</v>
      </c>
      <c r="AB53" s="787"/>
      <c r="AC53" s="787"/>
      <c r="AD53" s="86" t="s">
        <v>300</v>
      </c>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1"/>
      <c r="CN53" s="75"/>
      <c r="CO53" s="75"/>
      <c r="CP53" s="75"/>
      <c r="CQ53" s="75"/>
      <c r="CR53" s="75"/>
    </row>
    <row r="54" spans="1:96" ht="7.9" customHeight="1">
      <c r="A54" s="780"/>
      <c r="B54" s="781"/>
      <c r="C54" s="781"/>
      <c r="D54" s="781"/>
      <c r="E54" s="781"/>
      <c r="F54" s="781"/>
      <c r="G54" s="781"/>
      <c r="H54" s="781"/>
      <c r="I54" s="781"/>
      <c r="J54" s="781"/>
      <c r="K54" s="781"/>
      <c r="L54" s="781"/>
      <c r="M54" s="781"/>
      <c r="N54" s="781"/>
      <c r="O54" s="781"/>
      <c r="P54" s="781"/>
      <c r="Q54" s="781"/>
      <c r="R54" s="781"/>
      <c r="S54" s="781"/>
      <c r="T54" s="781"/>
      <c r="U54" s="781"/>
      <c r="V54" s="781"/>
      <c r="W54" s="781"/>
      <c r="X54" s="781"/>
      <c r="Y54" s="781"/>
      <c r="AH54" s="831"/>
      <c r="AI54" s="831"/>
      <c r="AJ54" s="831"/>
      <c r="AK54" s="831"/>
      <c r="AL54" s="831"/>
      <c r="AM54" s="831"/>
      <c r="AN54" s="831"/>
      <c r="AO54" s="831"/>
      <c r="AP54" s="831"/>
      <c r="AQ54" s="831"/>
      <c r="AR54" s="831"/>
      <c r="AS54" s="831"/>
      <c r="AT54" s="831"/>
      <c r="AU54" s="831"/>
      <c r="AV54" s="831"/>
      <c r="AW54" s="831"/>
      <c r="AX54" s="831"/>
      <c r="AY54" s="831"/>
      <c r="AZ54" s="831"/>
      <c r="BA54" s="831"/>
      <c r="BB54" s="831"/>
      <c r="BC54" s="831"/>
      <c r="BD54" s="831"/>
      <c r="BE54" s="831"/>
      <c r="BF54" s="831"/>
      <c r="BG54" s="831"/>
      <c r="BH54" s="831"/>
      <c r="BI54" s="831"/>
      <c r="BJ54" s="831"/>
      <c r="BK54" s="831"/>
      <c r="BL54" s="831"/>
      <c r="BM54" s="831"/>
      <c r="BN54" s="831"/>
      <c r="BO54" s="831"/>
      <c r="BP54" s="831"/>
      <c r="BQ54" s="831"/>
      <c r="BR54" s="831"/>
      <c r="BS54" s="831"/>
      <c r="BT54" s="831"/>
      <c r="BU54" s="831"/>
      <c r="BV54" s="831"/>
      <c r="BW54" s="831"/>
      <c r="BX54" s="831"/>
      <c r="BY54" s="831"/>
      <c r="BZ54" s="831"/>
      <c r="CA54" s="831"/>
      <c r="CB54" s="831"/>
      <c r="CC54" s="831"/>
      <c r="CD54" s="831"/>
      <c r="CE54" s="831"/>
      <c r="CF54" s="831"/>
      <c r="CG54" s="831"/>
      <c r="CH54" s="831"/>
      <c r="CI54" s="831"/>
      <c r="CJ54" s="831"/>
      <c r="CK54" s="831"/>
      <c r="CL54" s="831"/>
      <c r="CM54" s="782"/>
    </row>
    <row r="55" spans="1:96" ht="10.15" customHeight="1">
      <c r="A55" s="106"/>
      <c r="CM55" s="107"/>
    </row>
    <row r="56" spans="1:96" ht="3" customHeight="1">
      <c r="A56" s="87"/>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9"/>
    </row>
  </sheetData>
  <mergeCells count="132">
    <mergeCell ref="B1:DA1"/>
    <mergeCell ref="A3:H5"/>
    <mergeCell ref="I3:CM5"/>
    <mergeCell ref="CN3:CU5"/>
    <mergeCell ref="CV3:CV5"/>
    <mergeCell ref="CW3:CW5"/>
    <mergeCell ref="CX3:DA3"/>
    <mergeCell ref="DA4:DA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30:H30"/>
    <mergeCell ref="I30:CM30"/>
    <mergeCell ref="CN30:CU30"/>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M40:BD40"/>
    <mergeCell ref="BG40:BX40"/>
    <mergeCell ref="CA40:CR40"/>
    <mergeCell ref="AM41:BD41"/>
    <mergeCell ref="BG41:BX41"/>
    <mergeCell ref="CA41:CR41"/>
    <mergeCell ref="I43:J43"/>
    <mergeCell ref="K43:M43"/>
    <mergeCell ref="N43:O43"/>
    <mergeCell ref="Q43:AE43"/>
    <mergeCell ref="AG43:AK43"/>
    <mergeCell ref="A47:CM47"/>
    <mergeCell ref="A54:Y54"/>
    <mergeCell ref="AH54:CM54"/>
    <mergeCell ref="A48:CM48"/>
    <mergeCell ref="A50:Y50"/>
    <mergeCell ref="AH50:CM50"/>
    <mergeCell ref="A51:Y51"/>
    <mergeCell ref="AH51:CM51"/>
    <mergeCell ref="A53:B53"/>
    <mergeCell ref="C53:E53"/>
    <mergeCell ref="F53:G53"/>
    <mergeCell ref="I53:W53"/>
    <mergeCell ref="X53:Z53"/>
    <mergeCell ref="AA53:AC53"/>
  </mergeCells>
  <pageMargins left="0.59055118110236238" right="0.51181102362204722" top="0.78740157480314954" bottom="0.31496062992125984" header="0.19685039370078738" footer="0.19685039370078738"/>
  <pageSetup paperSize="9" scale="58" orientation="portrait" r:id="rId1"/>
  <headerFooter>
    <oddFooter>&amp;C &amp;"Times New Roman"&amp;10Бюджет городского округа город Сургут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109"/>
      <c r="B4" s="109"/>
      <c r="C4" s="109"/>
    </row>
    <row r="6" spans="1:3" ht="276.75">
      <c r="B6" s="110" t="s">
        <v>420</v>
      </c>
    </row>
    <row r="8" spans="1:3">
      <c r="A8" s="109"/>
      <c r="B8" s="109"/>
      <c r="C8" s="109"/>
    </row>
    <row r="10" spans="1:3" ht="148.5" customHeight="1">
      <c r="B10" s="111" t="s">
        <v>421</v>
      </c>
    </row>
    <row r="11" spans="1:3">
      <c r="A11" s="109"/>
      <c r="B11" s="109"/>
      <c r="C11" s="109"/>
    </row>
    <row r="13" spans="1:3" ht="210.75" customHeight="1">
      <c r="B13" s="111" t="s">
        <v>422</v>
      </c>
    </row>
    <row r="15" spans="1:3">
      <c r="A15" s="109"/>
      <c r="B15" s="109"/>
      <c r="C15" s="109"/>
    </row>
    <row r="17" spans="2:2" ht="303.75" customHeight="1">
      <c r="B17" s="110" t="s">
        <v>423</v>
      </c>
    </row>
  </sheetData>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36</vt:i4>
      </vt:variant>
    </vt:vector>
  </HeadingPairs>
  <TitlesOfParts>
    <vt:vector size="51"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н (2</vt:lpstr>
      <vt:lpstr>ФХД_ Сведения по выплатам АЦК</vt:lpstr>
      <vt:lpstr>НАБЛЮДАТЕЛЬНЫЙ</vt:lpstr>
      <vt:lpstr>Лист4(130,150)</vt:lpstr>
      <vt:lpstr>Лист6(211,212,226,266)</vt:lpstr>
      <vt:lpstr>Лист7(214,266)</vt:lpstr>
      <vt:lpstr>ФХД_ Сведения по выплатам</vt:lpstr>
      <vt:lpstr>Лист11(225)</vt:lpstr>
      <vt:lpstr>Лист12(224,225,226,310,342-349</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выплатам'!IS_DOCUMENT</vt:lpstr>
      <vt:lpstr>'ФХД_ Сведения по выплатам АЦК'!IS_DOCUMENT</vt:lpstr>
      <vt:lpstr>'ФХД_ Сведения по выплатам н (2'!IS_DOCUMENT</vt:lpstr>
      <vt:lpstr>'ФХД_ Сведения по выплатам на з'!IS_DOCUMENT</vt:lpstr>
      <vt:lpstr>Лист3!Print_Titles</vt:lpstr>
      <vt:lpstr>'Поступления и выплаты'!Print_Titles</vt:lpstr>
      <vt:lpstr>'Лист11(225)'!Область_печати</vt:lpstr>
      <vt:lpstr>'Лист12(224,225,226,310,342-349'!Область_печати</vt:lpstr>
      <vt:lpstr>Лист3!Область_печати</vt:lpstr>
      <vt:lpstr>'Лист4(130,150)'!Область_печати</vt:lpstr>
      <vt:lpstr>'Лист6(211,212,226,266)'!Область_печати</vt:lpstr>
      <vt:lpstr>'Лист7(214,266)'!Область_печати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выплатам'!Область_печати</vt:lpstr>
      <vt:lpstr>'ФХД_ Сведения по выплатам АЦК'!Область_печати</vt:lpstr>
      <vt:lpstr>'ФХД_ Сведения по выплатам н (2'!Область_печати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2022-04-12T07:06:44Z</cp:lastPrinted>
  <dcterms:created xsi:type="dcterms:W3CDTF">2006-09-16T00:00:00Z</dcterms:created>
  <dcterms:modified xsi:type="dcterms:W3CDTF">2022-04-22T10:08:14Z</dcterms:modified>
</cp:coreProperties>
</file>